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DABB627-2ED5-416C-98EE-5E33171B657F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 Celkový finanční plán" sheetId="2" r:id="rId1"/>
    <sheet name="2016" sheetId="3" r:id="rId2"/>
    <sheet name="2017" sheetId="4" r:id="rId3"/>
    <sheet name="2018" sheetId="5" r:id="rId4"/>
    <sheet name="2019" sheetId="6" r:id="rId5"/>
    <sheet name="2020" sheetId="7" r:id="rId6"/>
    <sheet name="2021" sheetId="8" r:id="rId7"/>
    <sheet name="2022" sheetId="9" r:id="rId8"/>
    <sheet name="2023" sheetId="10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2" l="1"/>
  <c r="K6" i="2"/>
  <c r="I6" i="2"/>
  <c r="H7" i="2"/>
  <c r="K7" i="2"/>
  <c r="I7" i="2"/>
  <c r="H6" i="7"/>
  <c r="K6" i="7"/>
  <c r="I6" i="7"/>
  <c r="K7" i="7"/>
  <c r="I7" i="7"/>
  <c r="H7" i="7" l="1"/>
  <c r="H7" i="6"/>
  <c r="K7" i="6"/>
  <c r="I7" i="6"/>
  <c r="C22" i="9" l="1"/>
  <c r="C22" i="8"/>
  <c r="D24" i="7"/>
  <c r="C22" i="7"/>
  <c r="C22" i="6"/>
  <c r="C24" i="5" l="1"/>
  <c r="E23" i="5"/>
  <c r="C22" i="5"/>
  <c r="E22" i="5" s="1"/>
  <c r="C23" i="4"/>
  <c r="D24" i="2"/>
  <c r="C23" i="2"/>
  <c r="C22" i="2"/>
  <c r="C24" i="2" s="1"/>
  <c r="K17" i="10" l="1"/>
  <c r="I17" i="10"/>
  <c r="H17" i="10"/>
  <c r="K17" i="9"/>
  <c r="I17" i="9"/>
  <c r="H17" i="9"/>
  <c r="J15" i="9"/>
  <c r="I15" i="9"/>
  <c r="H15" i="9"/>
  <c r="K17" i="8"/>
  <c r="I17" i="8"/>
  <c r="H17" i="8"/>
  <c r="L15" i="8"/>
  <c r="K15" i="8"/>
  <c r="J15" i="8"/>
  <c r="I15" i="8"/>
  <c r="H15" i="8"/>
  <c r="L13" i="8"/>
  <c r="K13" i="8"/>
  <c r="J13" i="8"/>
  <c r="I13" i="8"/>
  <c r="H13" i="8"/>
  <c r="L10" i="8"/>
  <c r="J10" i="8"/>
  <c r="I10" i="8"/>
  <c r="H10" i="8"/>
  <c r="K17" i="7"/>
  <c r="I17" i="7"/>
  <c r="H17" i="7"/>
  <c r="L15" i="7"/>
  <c r="K15" i="7"/>
  <c r="J15" i="7"/>
  <c r="I15" i="7"/>
  <c r="H15" i="7"/>
  <c r="L13" i="7"/>
  <c r="K13" i="7"/>
  <c r="J13" i="7"/>
  <c r="I13" i="7"/>
  <c r="H13" i="7"/>
  <c r="L12" i="7"/>
  <c r="J12" i="7"/>
  <c r="I12" i="7"/>
  <c r="H12" i="7"/>
  <c r="L10" i="7"/>
  <c r="J10" i="7"/>
  <c r="I10" i="7"/>
  <c r="H10" i="7"/>
  <c r="L9" i="7"/>
  <c r="J9" i="7"/>
  <c r="D27" i="7" s="1"/>
  <c r="D28" i="7" s="1"/>
  <c r="I9" i="7"/>
  <c r="C27" i="7" s="1"/>
  <c r="H9" i="7"/>
  <c r="K17" i="6"/>
  <c r="I17" i="6"/>
  <c r="H17" i="6"/>
  <c r="L15" i="6"/>
  <c r="K15" i="6"/>
  <c r="J15" i="6"/>
  <c r="I15" i="6"/>
  <c r="H15" i="6"/>
  <c r="L13" i="6"/>
  <c r="K13" i="6"/>
  <c r="J13" i="6"/>
  <c r="I13" i="6"/>
  <c r="C25" i="6" s="1"/>
  <c r="C26" i="6" s="1"/>
  <c r="H13" i="6"/>
  <c r="L12" i="6"/>
  <c r="J12" i="6"/>
  <c r="I12" i="6"/>
  <c r="H12" i="6"/>
  <c r="L10" i="6"/>
  <c r="J10" i="6"/>
  <c r="D27" i="6" s="1"/>
  <c r="D28" i="6" s="1"/>
  <c r="I10" i="6"/>
  <c r="C27" i="6" s="1"/>
  <c r="C28" i="6" s="1"/>
  <c r="H10" i="6"/>
  <c r="L15" i="5"/>
  <c r="K15" i="5"/>
  <c r="J15" i="5"/>
  <c r="I15" i="5"/>
  <c r="L13" i="5"/>
  <c r="K13" i="5"/>
  <c r="J13" i="5"/>
  <c r="D25" i="5" s="1"/>
  <c r="D26" i="5" s="1"/>
  <c r="I13" i="5"/>
  <c r="C25" i="5" s="1"/>
  <c r="C26" i="5" s="1"/>
  <c r="H13" i="5"/>
  <c r="L12" i="5"/>
  <c r="J12" i="5"/>
  <c r="I12" i="5"/>
  <c r="H12" i="5"/>
  <c r="L11" i="5"/>
  <c r="J11" i="5"/>
  <c r="D27" i="5" s="1"/>
  <c r="D28" i="5" s="1"/>
  <c r="I11" i="5"/>
  <c r="C27" i="5" s="1"/>
  <c r="C28" i="5" s="1"/>
  <c r="H11" i="5"/>
  <c r="L12" i="4"/>
  <c r="J12" i="4"/>
  <c r="I12" i="4"/>
  <c r="H12" i="4"/>
  <c r="L11" i="4"/>
  <c r="J11" i="4"/>
  <c r="I11" i="4"/>
  <c r="H11" i="4"/>
  <c r="L10" i="4"/>
  <c r="J10" i="4"/>
  <c r="D27" i="4" s="1"/>
  <c r="I10" i="4"/>
  <c r="C27" i="4" s="1"/>
  <c r="L15" i="2"/>
  <c r="L13" i="2"/>
  <c r="L12" i="2"/>
  <c r="L11" i="2"/>
  <c r="L10" i="2"/>
  <c r="L9" i="2"/>
  <c r="J15" i="2"/>
  <c r="J13" i="2"/>
  <c r="J12" i="2"/>
  <c r="J11" i="2"/>
  <c r="J10" i="2"/>
  <c r="J9" i="2"/>
  <c r="I17" i="2"/>
  <c r="I15" i="2"/>
  <c r="I13" i="2"/>
  <c r="I12" i="2"/>
  <c r="I11" i="2"/>
  <c r="I10" i="2"/>
  <c r="I9" i="2"/>
  <c r="C27" i="2" s="1"/>
  <c r="H17" i="2"/>
  <c r="H15" i="2"/>
  <c r="H13" i="2"/>
  <c r="H12" i="2"/>
  <c r="H11" i="2"/>
  <c r="H10" i="2"/>
  <c r="H9" i="2"/>
  <c r="C28" i="7" l="1"/>
  <c r="E27" i="7"/>
  <c r="E28" i="7" s="1"/>
  <c r="E27" i="2"/>
  <c r="E28" i="2" s="1"/>
  <c r="C28" i="2"/>
  <c r="D27" i="2"/>
  <c r="D28" i="2" s="1"/>
  <c r="E27" i="4"/>
  <c r="J40" i="10"/>
  <c r="I40" i="10"/>
  <c r="G40" i="10"/>
  <c r="F40" i="10"/>
  <c r="J39" i="10"/>
  <c r="G39" i="10"/>
  <c r="F39" i="10"/>
  <c r="J38" i="10"/>
  <c r="H38" i="10"/>
  <c r="F38" i="10"/>
  <c r="E38" i="10"/>
  <c r="J37" i="10"/>
  <c r="H37" i="10"/>
  <c r="F37" i="10"/>
  <c r="E37" i="10"/>
  <c r="J36" i="10"/>
  <c r="F36" i="10"/>
  <c r="C28" i="10"/>
  <c r="E27" i="10"/>
  <c r="E28" i="10" s="1"/>
  <c r="C27" i="10"/>
  <c r="C25" i="10"/>
  <c r="C26" i="10" s="1"/>
  <c r="E23" i="10"/>
  <c r="C23" i="10"/>
  <c r="C22" i="10"/>
  <c r="E40" i="10"/>
  <c r="L16" i="10"/>
  <c r="H16" i="10"/>
  <c r="E36" i="10" s="1"/>
  <c r="K15" i="10"/>
  <c r="J15" i="10"/>
  <c r="L13" i="10"/>
  <c r="I36" i="10" s="1"/>
  <c r="K13" i="10"/>
  <c r="H36" i="10" s="1"/>
  <c r="J13" i="10"/>
  <c r="L12" i="10"/>
  <c r="J12" i="10"/>
  <c r="L11" i="10"/>
  <c r="J11" i="10"/>
  <c r="L10" i="10"/>
  <c r="I37" i="10" s="1"/>
  <c r="J10" i="10"/>
  <c r="G37" i="10" s="1"/>
  <c r="L9" i="10"/>
  <c r="I38" i="10" s="1"/>
  <c r="J9" i="10"/>
  <c r="L8" i="10"/>
  <c r="I39" i="10" s="1"/>
  <c r="K8" i="10"/>
  <c r="H8" i="10"/>
  <c r="H7" i="10"/>
  <c r="H6" i="10"/>
  <c r="E39" i="10" s="1"/>
  <c r="J40" i="9"/>
  <c r="I40" i="9"/>
  <c r="H40" i="9"/>
  <c r="G40" i="9"/>
  <c r="F40" i="9"/>
  <c r="J39" i="9"/>
  <c r="G39" i="9"/>
  <c r="J38" i="9"/>
  <c r="H38" i="9"/>
  <c r="E38" i="9"/>
  <c r="J37" i="9"/>
  <c r="H37" i="9"/>
  <c r="E37" i="9"/>
  <c r="J36" i="9"/>
  <c r="I36" i="9"/>
  <c r="H36" i="9"/>
  <c r="G36" i="9"/>
  <c r="F36" i="9"/>
  <c r="E36" i="9"/>
  <c r="D25" i="9"/>
  <c r="D26" i="9" s="1"/>
  <c r="C25" i="9"/>
  <c r="C23" i="9"/>
  <c r="C24" i="9" s="1"/>
  <c r="E22" i="9"/>
  <c r="E40" i="9"/>
  <c r="L16" i="9"/>
  <c r="F39" i="9"/>
  <c r="L12" i="9"/>
  <c r="J12" i="9"/>
  <c r="I12" i="9"/>
  <c r="L11" i="9"/>
  <c r="J11" i="9"/>
  <c r="G37" i="9" s="1"/>
  <c r="I11" i="9"/>
  <c r="L10" i="9"/>
  <c r="J10" i="9"/>
  <c r="I10" i="9"/>
  <c r="F37" i="9" s="1"/>
  <c r="L9" i="9"/>
  <c r="I38" i="9" s="1"/>
  <c r="J9" i="9"/>
  <c r="G38" i="9" s="1"/>
  <c r="I9" i="9"/>
  <c r="I39" i="9"/>
  <c r="E39" i="9"/>
  <c r="J40" i="8"/>
  <c r="I40" i="8"/>
  <c r="H40" i="8"/>
  <c r="G40" i="8"/>
  <c r="F40" i="8"/>
  <c r="E40" i="8"/>
  <c r="J39" i="8"/>
  <c r="G39" i="8"/>
  <c r="J38" i="8"/>
  <c r="H38" i="8"/>
  <c r="E38" i="8"/>
  <c r="J37" i="8"/>
  <c r="H37" i="8"/>
  <c r="E37" i="8"/>
  <c r="J36" i="8"/>
  <c r="C23" i="8"/>
  <c r="E22" i="8"/>
  <c r="F39" i="8"/>
  <c r="I36" i="8"/>
  <c r="H36" i="8"/>
  <c r="G36" i="8"/>
  <c r="F36" i="8"/>
  <c r="E36" i="8"/>
  <c r="I37" i="8"/>
  <c r="G37" i="8"/>
  <c r="F37" i="8"/>
  <c r="L9" i="8"/>
  <c r="I38" i="8" s="1"/>
  <c r="J9" i="8"/>
  <c r="I9" i="8"/>
  <c r="I39" i="8"/>
  <c r="E39" i="8"/>
  <c r="J40" i="7"/>
  <c r="I40" i="7"/>
  <c r="G40" i="7"/>
  <c r="F40" i="7"/>
  <c r="J39" i="7"/>
  <c r="G39" i="7"/>
  <c r="J38" i="7"/>
  <c r="H38" i="7"/>
  <c r="G38" i="7"/>
  <c r="E38" i="7"/>
  <c r="J37" i="7"/>
  <c r="H37" i="7"/>
  <c r="E37" i="7"/>
  <c r="J36" i="7"/>
  <c r="F36" i="7"/>
  <c r="C25" i="7"/>
  <c r="C26" i="7" s="1"/>
  <c r="C23" i="7"/>
  <c r="E22" i="7"/>
  <c r="E40" i="7"/>
  <c r="I39" i="7"/>
  <c r="F39" i="7"/>
  <c r="I36" i="7"/>
  <c r="H36" i="7"/>
  <c r="G36" i="7"/>
  <c r="E36" i="7"/>
  <c r="I37" i="7"/>
  <c r="G37" i="7"/>
  <c r="F37" i="7"/>
  <c r="I38" i="7"/>
  <c r="F38" i="7"/>
  <c r="E39" i="7"/>
  <c r="J40" i="6"/>
  <c r="I40" i="6"/>
  <c r="H40" i="6"/>
  <c r="G40" i="6"/>
  <c r="F40" i="6"/>
  <c r="E40" i="6"/>
  <c r="J39" i="6"/>
  <c r="I39" i="6"/>
  <c r="H39" i="6"/>
  <c r="G39" i="6"/>
  <c r="F39" i="6"/>
  <c r="E39" i="6"/>
  <c r="J38" i="6"/>
  <c r="I38" i="6"/>
  <c r="H38" i="6"/>
  <c r="G38" i="6"/>
  <c r="F38" i="6"/>
  <c r="E38" i="6"/>
  <c r="J37" i="6"/>
  <c r="I37" i="6"/>
  <c r="H37" i="6"/>
  <c r="G37" i="6"/>
  <c r="F37" i="6"/>
  <c r="E37" i="6"/>
  <c r="J36" i="6"/>
  <c r="I36" i="6"/>
  <c r="H36" i="6"/>
  <c r="G36" i="6"/>
  <c r="F36" i="6"/>
  <c r="E36" i="6"/>
  <c r="E27" i="6"/>
  <c r="E28" i="6" s="1"/>
  <c r="D25" i="6"/>
  <c r="D26" i="6" s="1"/>
  <c r="D24" i="6"/>
  <c r="D29" i="6" s="1"/>
  <c r="C23" i="6"/>
  <c r="C24" i="6" s="1"/>
  <c r="C29" i="6" s="1"/>
  <c r="E22" i="6"/>
  <c r="J40" i="5"/>
  <c r="I40" i="5"/>
  <c r="G40" i="5"/>
  <c r="F40" i="5"/>
  <c r="E40" i="5"/>
  <c r="J39" i="5"/>
  <c r="G39" i="5"/>
  <c r="J38" i="5"/>
  <c r="H38" i="5"/>
  <c r="E38" i="5"/>
  <c r="J37" i="5"/>
  <c r="H37" i="5"/>
  <c r="E37" i="5"/>
  <c r="J36" i="5"/>
  <c r="H36" i="5"/>
  <c r="G36" i="5"/>
  <c r="E36" i="5"/>
  <c r="C29" i="5"/>
  <c r="E27" i="5"/>
  <c r="E28" i="5" s="1"/>
  <c r="E25" i="5"/>
  <c r="E26" i="5" s="1"/>
  <c r="D24" i="5"/>
  <c r="K17" i="5"/>
  <c r="H40" i="5" s="1"/>
  <c r="L16" i="5"/>
  <c r="I36" i="5" s="1"/>
  <c r="F36" i="5"/>
  <c r="F39" i="5"/>
  <c r="G37" i="5"/>
  <c r="I38" i="5"/>
  <c r="G38" i="5"/>
  <c r="F38" i="5"/>
  <c r="I39" i="5"/>
  <c r="H39" i="5"/>
  <c r="J40" i="4"/>
  <c r="I40" i="4"/>
  <c r="G40" i="4"/>
  <c r="F40" i="4"/>
  <c r="E40" i="4"/>
  <c r="J39" i="4"/>
  <c r="G39" i="4"/>
  <c r="J38" i="4"/>
  <c r="I38" i="4"/>
  <c r="H38" i="4"/>
  <c r="F38" i="4"/>
  <c r="E38" i="4"/>
  <c r="J37" i="4"/>
  <c r="H37" i="4"/>
  <c r="G37" i="4"/>
  <c r="E37" i="4"/>
  <c r="J36" i="4"/>
  <c r="I36" i="4"/>
  <c r="H36" i="4"/>
  <c r="G36" i="4"/>
  <c r="F36" i="4"/>
  <c r="E36" i="4"/>
  <c r="D28" i="4"/>
  <c r="C28" i="4"/>
  <c r="D25" i="4"/>
  <c r="D26" i="4" s="1"/>
  <c r="C25" i="4"/>
  <c r="C26" i="4" s="1"/>
  <c r="D24" i="4"/>
  <c r="E23" i="4"/>
  <c r="E22" i="4"/>
  <c r="E24" i="4" s="1"/>
  <c r="H40" i="4"/>
  <c r="F39" i="4"/>
  <c r="I37" i="4"/>
  <c r="F37" i="4"/>
  <c r="G38" i="4"/>
  <c r="I39" i="4"/>
  <c r="E39" i="4"/>
  <c r="J40" i="3"/>
  <c r="I40" i="3"/>
  <c r="G40" i="3"/>
  <c r="F40" i="3"/>
  <c r="J39" i="3"/>
  <c r="G39" i="3"/>
  <c r="F39" i="3"/>
  <c r="J38" i="3"/>
  <c r="H38" i="3"/>
  <c r="F38" i="3"/>
  <c r="E38" i="3"/>
  <c r="J37" i="3"/>
  <c r="H37" i="3"/>
  <c r="F37" i="3"/>
  <c r="E37" i="3"/>
  <c r="J36" i="3"/>
  <c r="F36" i="3"/>
  <c r="E27" i="3"/>
  <c r="E28" i="3" s="1"/>
  <c r="C27" i="3"/>
  <c r="C28" i="3" s="1"/>
  <c r="C25" i="3"/>
  <c r="C26" i="3" s="1"/>
  <c r="C23" i="3"/>
  <c r="C24" i="3" s="1"/>
  <c r="C22" i="3"/>
  <c r="H17" i="3"/>
  <c r="E23" i="3" s="1"/>
  <c r="H16" i="3"/>
  <c r="L16" i="3" s="1"/>
  <c r="K15" i="3"/>
  <c r="J15" i="3"/>
  <c r="L14" i="3"/>
  <c r="L13" i="3"/>
  <c r="I36" i="3" s="1"/>
  <c r="K13" i="3"/>
  <c r="H36" i="3" s="1"/>
  <c r="J13" i="3"/>
  <c r="G36" i="3" s="1"/>
  <c r="L12" i="3"/>
  <c r="J12" i="3"/>
  <c r="L11" i="3"/>
  <c r="J11" i="3"/>
  <c r="L10" i="3"/>
  <c r="I37" i="3" s="1"/>
  <c r="J10" i="3"/>
  <c r="G37" i="3" s="1"/>
  <c r="L9" i="3"/>
  <c r="I38" i="3" s="1"/>
  <c r="J9" i="3"/>
  <c r="G38" i="3" s="1"/>
  <c r="H8" i="3"/>
  <c r="L8" i="3" s="1"/>
  <c r="I39" i="3" s="1"/>
  <c r="K7" i="3"/>
  <c r="H7" i="3"/>
  <c r="H6" i="3"/>
  <c r="K6" i="3" s="1"/>
  <c r="J40" i="2"/>
  <c r="I40" i="2"/>
  <c r="H40" i="2"/>
  <c r="G40" i="2"/>
  <c r="F40" i="2"/>
  <c r="E40" i="2"/>
  <c r="J39" i="2"/>
  <c r="I39" i="2"/>
  <c r="H39" i="2"/>
  <c r="G39" i="2"/>
  <c r="F39" i="2"/>
  <c r="E39" i="2"/>
  <c r="J38" i="2"/>
  <c r="I38" i="2"/>
  <c r="H38" i="2"/>
  <c r="G38" i="2"/>
  <c r="F38" i="2"/>
  <c r="E38" i="2"/>
  <c r="J37" i="2"/>
  <c r="I37" i="2"/>
  <c r="H37" i="2"/>
  <c r="G37" i="2"/>
  <c r="F37" i="2"/>
  <c r="E37" i="2"/>
  <c r="J36" i="2"/>
  <c r="I36" i="2"/>
  <c r="H36" i="2"/>
  <c r="G36" i="2"/>
  <c r="F36" i="2"/>
  <c r="E36" i="2"/>
  <c r="G27" i="2"/>
  <c r="G25" i="2"/>
  <c r="D25" i="2"/>
  <c r="D26" i="2" s="1"/>
  <c r="C25" i="2"/>
  <c r="C26" i="2" s="1"/>
  <c r="G23" i="2"/>
  <c r="E23" i="2"/>
  <c r="G22" i="2"/>
  <c r="E22" i="2"/>
  <c r="E24" i="2" s="1"/>
  <c r="P17" i="2"/>
  <c r="P16" i="2"/>
  <c r="P15" i="2"/>
  <c r="P14" i="2"/>
  <c r="P13" i="2"/>
  <c r="P12" i="2"/>
  <c r="P11" i="2"/>
  <c r="P10" i="2"/>
  <c r="P9" i="2"/>
  <c r="P8" i="2"/>
  <c r="P7" i="2"/>
  <c r="P6" i="2"/>
  <c r="K6" i="10" l="1"/>
  <c r="D29" i="5"/>
  <c r="E29" i="5" s="1"/>
  <c r="E24" i="5"/>
  <c r="E23" i="7"/>
  <c r="C24" i="7"/>
  <c r="C29" i="7" s="1"/>
  <c r="C29" i="2"/>
  <c r="C27" i="9"/>
  <c r="C28" i="9" s="1"/>
  <c r="E22" i="3"/>
  <c r="E25" i="3"/>
  <c r="E26" i="3" s="1"/>
  <c r="E39" i="3"/>
  <c r="E28" i="4"/>
  <c r="F38" i="8"/>
  <c r="C27" i="8"/>
  <c r="I37" i="9"/>
  <c r="E22" i="10"/>
  <c r="D27" i="10"/>
  <c r="D28" i="10" s="1"/>
  <c r="G36" i="10"/>
  <c r="E23" i="6"/>
  <c r="E24" i="7"/>
  <c r="G38" i="8"/>
  <c r="D27" i="8"/>
  <c r="D28" i="8" s="1"/>
  <c r="E23" i="8"/>
  <c r="E24" i="8" s="1"/>
  <c r="C24" i="8"/>
  <c r="D29" i="2"/>
  <c r="E29" i="6"/>
  <c r="C24" i="10"/>
  <c r="C29" i="10" s="1"/>
  <c r="E24" i="10"/>
  <c r="E23" i="9"/>
  <c r="E24" i="9" s="1"/>
  <c r="E25" i="9"/>
  <c r="C26" i="9"/>
  <c r="E26" i="9" s="1"/>
  <c r="E25" i="6"/>
  <c r="E26" i="6" s="1"/>
  <c r="F37" i="5"/>
  <c r="I37" i="5"/>
  <c r="D29" i="4"/>
  <c r="G29" i="2"/>
  <c r="E24" i="3"/>
  <c r="E29" i="3" s="1"/>
  <c r="C29" i="3"/>
  <c r="C29" i="4"/>
  <c r="H39" i="9"/>
  <c r="E25" i="2"/>
  <c r="E26" i="2" s="1"/>
  <c r="E29" i="2" s="1"/>
  <c r="K17" i="3"/>
  <c r="H39" i="4"/>
  <c r="E25" i="4"/>
  <c r="E26" i="4" s="1"/>
  <c r="H39" i="7"/>
  <c r="D25" i="7"/>
  <c r="C25" i="8"/>
  <c r="C26" i="8" s="1"/>
  <c r="F38" i="9"/>
  <c r="K7" i="10"/>
  <c r="D22" i="10" s="1"/>
  <c r="D25" i="10"/>
  <c r="D26" i="10" s="1"/>
  <c r="G38" i="10"/>
  <c r="D25" i="3"/>
  <c r="D26" i="3" s="1"/>
  <c r="D27" i="9"/>
  <c r="D28" i="9" s="1"/>
  <c r="D29" i="9" s="1"/>
  <c r="K8" i="3"/>
  <c r="D22" i="3" s="1"/>
  <c r="D27" i="3"/>
  <c r="D28" i="3" s="1"/>
  <c r="E36" i="3"/>
  <c r="E40" i="3"/>
  <c r="E39" i="5"/>
  <c r="E24" i="6"/>
  <c r="H40" i="7"/>
  <c r="D25" i="8"/>
  <c r="D26" i="8" s="1"/>
  <c r="D29" i="8" s="1"/>
  <c r="E25" i="10"/>
  <c r="E26" i="10" s="1"/>
  <c r="C28" i="8" l="1"/>
  <c r="E27" i="8"/>
  <c r="E28" i="8" s="1"/>
  <c r="C29" i="8"/>
  <c r="C29" i="9"/>
  <c r="E29" i="10"/>
  <c r="E25" i="7"/>
  <c r="E26" i="7" s="1"/>
  <c r="E29" i="7" s="1"/>
  <c r="D26" i="7"/>
  <c r="D29" i="7" s="1"/>
  <c r="E29" i="4"/>
  <c r="E29" i="9"/>
  <c r="D23" i="3"/>
  <c r="D24" i="3" s="1"/>
  <c r="D29" i="3" s="1"/>
  <c r="H40" i="3"/>
  <c r="H39" i="3"/>
  <c r="H39" i="8"/>
  <c r="E25" i="8"/>
  <c r="E26" i="8" s="1"/>
  <c r="E29" i="8" s="1"/>
  <c r="E27" i="9"/>
  <c r="H39" i="10"/>
  <c r="E28" i="9"/>
  <c r="D24" i="10"/>
  <c r="D29" i="10" s="1"/>
  <c r="H40" i="10"/>
</calcChain>
</file>

<file path=xl/sharedStrings.xml><?xml version="1.0" encoding="utf-8"?>
<sst xmlns="http://schemas.openxmlformats.org/spreadsheetml/2006/main" count="1127" uniqueCount="104">
  <si>
    <t>Specifický cíl SCLLD</t>
  </si>
  <si>
    <t>Opatření SCLLD</t>
  </si>
  <si>
    <t>Podopatření SCLLD</t>
  </si>
  <si>
    <t>IDENTIFIKACE programu</t>
  </si>
  <si>
    <t>Program</t>
  </si>
  <si>
    <t>Prioritní osa OP/ Priorita Unie</t>
  </si>
  <si>
    <t>Investiční priorita OP/ Prioritní oblast</t>
  </si>
  <si>
    <t>Specifický cíl OP/ Operace PRV</t>
  </si>
  <si>
    <t>Celkové způsobilé výdaje (CZV)</t>
  </si>
  <si>
    <t>z toho  Podpora</t>
  </si>
  <si>
    <t>Z toho Vlastní zdroje příjemce</t>
  </si>
  <si>
    <t>IROP</t>
  </si>
  <si>
    <t>OP Z</t>
  </si>
  <si>
    <t>PRV</t>
  </si>
  <si>
    <t>OP ŽP</t>
  </si>
  <si>
    <t>Celkem</t>
  </si>
  <si>
    <t>SC 1.1</t>
  </si>
  <si>
    <t>O 1.1.1</t>
  </si>
  <si>
    <t>SC 1.2</t>
  </si>
  <si>
    <t>O 1.2.2</t>
  </si>
  <si>
    <t>SC 2.1</t>
  </si>
  <si>
    <t>O 2.1.1</t>
  </si>
  <si>
    <t>OPZ</t>
  </si>
  <si>
    <t>O 2.1.2</t>
  </si>
  <si>
    <t>SC 2.2</t>
  </si>
  <si>
    <t>O 2.2.1</t>
  </si>
  <si>
    <t>O 2.2.2</t>
  </si>
  <si>
    <t>SC 3.1</t>
  </si>
  <si>
    <t>O 3.1.1</t>
  </si>
  <si>
    <t>Fond</t>
  </si>
  <si>
    <t>ERDF</t>
  </si>
  <si>
    <t>Celkem ERDF</t>
  </si>
  <si>
    <t>ESF</t>
  </si>
  <si>
    <t>Celkem ESF</t>
  </si>
  <si>
    <t>EZFRV</t>
  </si>
  <si>
    <t>Celkem EZFRV</t>
  </si>
  <si>
    <t xml:space="preserve"> Celkem</t>
  </si>
  <si>
    <t xml:space="preserve">e) Financování podle jednotlivých specifických cílů a opatření (příp. podopatření) SCLLD v letech 2016 - 2023 </t>
  </si>
  <si>
    <t>Příspěvek Unie (a)</t>
  </si>
  <si>
    <t>Národní veřejné zdroje (SR,SF) (b)</t>
  </si>
  <si>
    <t xml:space="preserve">Národní veřejné zdroje (kraj, obec, jiné) (c ) </t>
  </si>
  <si>
    <t>Národní soukromé zdroje (d)</t>
  </si>
  <si>
    <t>Unie + SR, SF</t>
  </si>
  <si>
    <t>9d</t>
  </si>
  <si>
    <t>4.1</t>
  </si>
  <si>
    <t>SC 1.3</t>
  </si>
  <si>
    <t>O 1.3.4</t>
  </si>
  <si>
    <t>SC 1.4</t>
  </si>
  <si>
    <t>O 1.4.1</t>
  </si>
  <si>
    <t>6</t>
  </si>
  <si>
    <t>6b</t>
  </si>
  <si>
    <t>19.3.1</t>
  </si>
  <si>
    <t>19.2.1</t>
  </si>
  <si>
    <t>O 2.1.3</t>
  </si>
  <si>
    <t>2.3</t>
  </si>
  <si>
    <t>2.3.1</t>
  </si>
  <si>
    <t xml:space="preserve"> </t>
  </si>
  <si>
    <t>O 2.2.3</t>
  </si>
  <si>
    <t>O 2.2.5</t>
  </si>
  <si>
    <t>OPŽP</t>
  </si>
  <si>
    <t>4.3</t>
  </si>
  <si>
    <t>f) Financování SCLLD v letech 2016 - 2023 podle specifických cílů operačních programů / opatření EZFRV (PRV)</t>
  </si>
  <si>
    <t>Programový rámec</t>
  </si>
  <si>
    <t>Prioritní osa OP / Priorita Unie</t>
  </si>
  <si>
    <t>Specifický cíl OP/operace PRV</t>
  </si>
  <si>
    <t>Z toho Podpora</t>
  </si>
  <si>
    <t>Příspěvek Unie                  (a)</t>
  </si>
  <si>
    <t>Národní veřejné zdroje (SR, SF) (b)</t>
  </si>
  <si>
    <t>Národní veřejné zdroje (kraj, obec, jiné)          (c)</t>
  </si>
  <si>
    <t>e) Financování podle jednotlivých specifických cílů a opatření (příp. podopatření) SCLLD v roku 2016</t>
  </si>
  <si>
    <t>Celkové způsobilé výdaje (CSV)</t>
  </si>
  <si>
    <t>f) Financování SCLLD v roku 2016 p odle specifický ch cílů operačních programů / op atření EZFRV (PRV)</t>
  </si>
  <si>
    <t>e) Financování podle jednotlivých specifických cílů a opatření (příp. podopatření) SCLLD v roku 2017</t>
  </si>
  <si>
    <t>f) Financování SCLLD v roku 2017 podle specifický ch cílů operačních programů / opatření EZFRV (PRV)</t>
  </si>
  <si>
    <t>e) Financování podle jednotlivých specifických cílů a opatření (příp. podopatření) SCLLD v roku 2018</t>
  </si>
  <si>
    <t>f) Financování SCLLD v roku 2018 podle specifických cílů operačních programů / opatření EZFRV (PRV)</t>
  </si>
  <si>
    <t>e) Financování podle jednotlivých specifických cílů a opatření (příp. podopatření) SCLLD v roku 2019</t>
  </si>
  <si>
    <t>f) Financování SCLLD v roku 2019 podle specifických cílů operačních programů / opatření EZFRV (PRV)</t>
  </si>
  <si>
    <t>e) Financování podle jednotlivých specifických cílů a opatření (příp. podopatření) SCLLD v roku 2020</t>
  </si>
  <si>
    <t>f) Financování SCLLD v roku 2020 podle specifických cílů operačních programů / opatření EZFRV (PRV)</t>
  </si>
  <si>
    <t>e) Financování podle jednotlivých specifických cílů a opatření (příp. podopatření) SCLLD v roku 2021</t>
  </si>
  <si>
    <t>f) Financování SCLLD v roku 2021 podle specifických cílů operačních programů / opatření EZFRV (PRV)</t>
  </si>
  <si>
    <t>e) Financování podle jednotlivých specifických cílů a opatření (příp. podopatření) SCLLD v roku 2022</t>
  </si>
  <si>
    <t>f) Financování SCLLD v roku 2022 podle specifických cílů operačních programů / opatření EZFRV (PRV)</t>
  </si>
  <si>
    <t>e) Financování podle jednotlivých specifických cílů a opatření (příp. podopatření) SCLLD v roku 2023</t>
  </si>
  <si>
    <t>f) Financování SCLLD v roku 2023 podle specifických cílů operačních programů / opatření EZFRV (PRV)</t>
  </si>
  <si>
    <t>Prioritní osa / Priorita Unie</t>
  </si>
  <si>
    <t>PLÁN FINANCOVÁNÍ (způsobilé výdaje v Kč)</t>
  </si>
  <si>
    <t>Nezpůsobilé výdaje (Kč)</t>
  </si>
  <si>
    <t>h ) Financování podle programů a ESI fondů (Podpora v Kč) v letech 2016 - 2023</t>
  </si>
  <si>
    <t>PLÁN FINANCOVÁNÍ (způsobilé výdaje v Kč)</t>
  </si>
  <si>
    <t>h ) Financování podle programů a ESI fondů (Podpora v Kč) v roku 2016</t>
  </si>
  <si>
    <t>Podpora (Kč)</t>
  </si>
  <si>
    <t>Národní spolufinancování (Kč)</t>
  </si>
  <si>
    <t xml:space="preserve"> Příspěvek Unie (Kč)</t>
  </si>
  <si>
    <r>
      <t xml:space="preserve">PLÁN FINANCOVÁNÍ </t>
    </r>
    <r>
      <rPr>
        <b/>
        <u/>
        <sz val="10"/>
        <color rgb="FFFFFFFF"/>
        <rFont val="Calibri"/>
        <family val="2"/>
        <charset val="238"/>
      </rPr>
      <t xml:space="preserve">(způsobilé </t>
    </r>
    <r>
      <rPr>
        <b/>
        <sz val="10"/>
        <color rgb="FFFFFFFF"/>
        <rFont val="Calibri"/>
        <family val="2"/>
        <charset val="238"/>
      </rPr>
      <t>výdaje v Kč)</t>
    </r>
  </si>
  <si>
    <t>Nezpůsobilé výdaje (v Kč)</t>
  </si>
  <si>
    <t>h ) Financování podle programů a ESI fondů (Podpora v Kč) v roku 2017</t>
  </si>
  <si>
    <t>h ) Financování podle programů a ESI fondů (Podpora v Kč) v roku 2018</t>
  </si>
  <si>
    <t>h ) Financování podle programů a ESI fondů (Podpora v Kč) v roku 2019</t>
  </si>
  <si>
    <t>h ) Financování podle programů a ESI fondů (Podpora v Kč) v roku 2020</t>
  </si>
  <si>
    <t>h ) Financování podle programů a ESI fondů (Podpora v Kč) v roku 2021</t>
  </si>
  <si>
    <t>h ) Financování podle programů a ESI fondů (Podpora v Kč) v roku 2022</t>
  </si>
  <si>
    <t>h ) Financování podle programů a ESI fondů (Podpora v Kč) v roku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</si>
</sst>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d/mmm"/>
    <numFmt numFmtId="166" formatCode="#,##0.00_ ;\-#,##0.00\ "/>
  </numFmts>
  <fonts count="12" x14ac:knownFonts="1">
    <font>
      <sz val="11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b/>
      <sz val="10.5"/>
      <color rgb="FF000000"/>
      <name val="Calibri"/>
      <family val="2"/>
      <charset val="238"/>
    </font>
    <font>
      <b/>
      <sz val="10.5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.5"/>
      <name val="Calibri"/>
      <family val="2"/>
      <charset val="238"/>
    </font>
    <font>
      <sz val="10.5"/>
      <color rgb="FFFFFFFF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u/>
      <sz val="10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984806"/>
        <bgColor rgb="FF984807"/>
      </patternFill>
    </fill>
    <fill>
      <patternFill patternType="solid">
        <fgColor rgb="FFFBD4B4"/>
        <bgColor rgb="FFFCD5B5"/>
      </patternFill>
    </fill>
    <fill>
      <patternFill patternType="solid">
        <fgColor rgb="FFFABF8F"/>
        <bgColor rgb="FFFAC090"/>
      </patternFill>
    </fill>
    <fill>
      <patternFill patternType="solid">
        <fgColor rgb="FFFDE9D9"/>
        <bgColor rgb="FFFDEADA"/>
      </patternFill>
    </fill>
    <fill>
      <patternFill patternType="solid">
        <fgColor rgb="FFFCD5B5"/>
        <bgColor rgb="FFFBD4B4"/>
      </patternFill>
    </fill>
    <fill>
      <patternFill patternType="solid">
        <fgColor rgb="FFFAC090"/>
        <bgColor rgb="FFFABF8F"/>
      </patternFill>
    </fill>
    <fill>
      <patternFill patternType="solid">
        <fgColor rgb="FF984807"/>
        <bgColor rgb="FF984806"/>
      </patternFill>
    </fill>
    <fill>
      <patternFill patternType="solid">
        <fgColor rgb="FFFDEADA"/>
        <bgColor rgb="FFFDE9D9"/>
      </patternFill>
    </fill>
    <fill>
      <patternFill patternType="solid">
        <fgColor theme="5" tint="0.79998168889431442"/>
        <bgColor rgb="FFFFF200"/>
      </patternFill>
    </fill>
    <fill>
      <patternFill patternType="solid">
        <fgColor theme="5" tint="0.79998168889431442"/>
        <bgColor rgb="FFFDE9D9"/>
      </patternFill>
    </fill>
    <fill>
      <patternFill patternType="solid">
        <fgColor theme="5" tint="0.79998168889431442"/>
        <bgColor rgb="FFFDEADA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rgb="FFE46C0A"/>
      </patternFill>
    </fill>
    <fill>
      <patternFill patternType="solid">
        <fgColor theme="5" tint="0.59999389629810485"/>
        <bgColor rgb="FFFDEADA"/>
      </patternFill>
    </fill>
    <fill>
      <patternFill patternType="solid">
        <fgColor theme="5" tint="0.59999389629810485"/>
        <bgColor rgb="FFFFF200"/>
      </patternFill>
    </fill>
    <fill>
      <patternFill patternType="solid">
        <fgColor theme="5" tint="0.59999389629810485"/>
        <bgColor rgb="FFFBD4B4"/>
      </patternFill>
    </fill>
    <fill>
      <patternFill patternType="solid">
        <fgColor rgb="FFFFFF00"/>
        <bgColor rgb="FFFDE9D9"/>
      </patternFill>
    </fill>
    <fill>
      <patternFill patternType="solid">
        <fgColor rgb="FFFFFF00"/>
        <bgColor rgb="FFFDEADA"/>
      </patternFill>
    </fill>
    <fill>
      <patternFill patternType="solid">
        <fgColor rgb="FFFFFF00"/>
        <bgColor rgb="FFFBD4B4"/>
      </patternFill>
    </fill>
    <fill>
      <patternFill patternType="solid">
        <fgColor rgb="FFFFFF00"/>
        <bgColor rgb="FFFABF8F"/>
      </patternFill>
    </fill>
    <fill>
      <patternFill patternType="solid">
        <fgColor rgb="FFFFFF00"/>
        <bgColor rgb="FFFFF200"/>
      </patternFill>
    </fill>
    <fill>
      <patternFill patternType="solid">
        <fgColor theme="5" tint="0.79998168889431442"/>
        <bgColor rgb="FFFABF8F"/>
      </patternFill>
    </fill>
    <fill>
      <patternFill patternType="solid">
        <fgColor theme="5" tint="0.79998168889431442"/>
        <bgColor rgb="FFFBD4B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32">
    <xf numFmtId="0" fontId="0" fillId="0" borderId="0" xfId="0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4" fontId="1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" fontId="1" fillId="9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4" fontId="5" fillId="10" borderId="1" xfId="0" applyNumberFormat="1" applyFont="1" applyFill="1" applyBorder="1" applyAlignment="1">
      <alignment horizontal="center" vertical="center" wrapText="1"/>
    </xf>
    <xf numFmtId="4" fontId="5" fillId="10" borderId="1" xfId="0" applyNumberFormat="1" applyFont="1" applyFill="1" applyBorder="1" applyAlignment="1">
      <alignment horizontal="right" vertical="center" wrapText="1"/>
    </xf>
    <xf numFmtId="4" fontId="5" fillId="11" borderId="1" xfId="0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center" vertical="center" wrapText="1"/>
    </xf>
    <xf numFmtId="4" fontId="1" fillId="11" borderId="1" xfId="0" applyNumberFormat="1" applyFont="1" applyFill="1" applyBorder="1" applyAlignment="1">
      <alignment horizontal="center" vertical="center" wrapText="1"/>
    </xf>
    <xf numFmtId="4" fontId="1" fillId="11" borderId="1" xfId="0" applyNumberFormat="1" applyFont="1" applyFill="1" applyBorder="1" applyAlignment="1">
      <alignment horizontal="right" vertical="center" wrapText="1"/>
    </xf>
    <xf numFmtId="4" fontId="6" fillId="12" borderId="1" xfId="0" applyNumberFormat="1" applyFont="1" applyFill="1" applyBorder="1" applyAlignment="1">
      <alignment horizontal="center" vertical="center" wrapText="1"/>
    </xf>
    <xf numFmtId="4" fontId="6" fillId="12" borderId="1" xfId="0" applyNumberFormat="1" applyFont="1" applyFill="1" applyBorder="1" applyAlignment="1">
      <alignment horizontal="right" vertical="center" wrapText="1"/>
    </xf>
    <xf numFmtId="4" fontId="1" fillId="13" borderId="1" xfId="0" applyNumberFormat="1" applyFont="1" applyFill="1" applyBorder="1" applyAlignment="1">
      <alignment horizontal="center" vertical="center" wrapText="1"/>
    </xf>
    <xf numFmtId="4" fontId="1" fillId="13" borderId="1" xfId="0" applyNumberFormat="1" applyFont="1" applyFill="1" applyBorder="1" applyAlignment="1">
      <alignment horizontal="right" vertical="center" wrapText="1"/>
    </xf>
    <xf numFmtId="4" fontId="1" fillId="12" borderId="1" xfId="0" applyNumberFormat="1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right" vertical="center" wrapText="1"/>
    </xf>
    <xf numFmtId="4" fontId="5" fillId="11" borderId="1" xfId="0" applyNumberFormat="1" applyFont="1" applyFill="1" applyBorder="1" applyAlignment="1">
      <alignment horizontal="center" vertical="center" wrapText="1"/>
    </xf>
    <xf numFmtId="4" fontId="1" fillId="14" borderId="1" xfId="0" applyNumberFormat="1" applyFont="1" applyFill="1" applyBorder="1" applyAlignment="1">
      <alignment horizontal="center" vertical="center" wrapText="1"/>
    </xf>
    <xf numFmtId="4" fontId="1" fillId="14" borderId="1" xfId="0" applyNumberFormat="1" applyFont="1" applyFill="1" applyBorder="1" applyAlignment="1">
      <alignment horizontal="right"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" fontId="1" fillId="12" borderId="1" xfId="0" applyNumberFormat="1" applyFont="1" applyFill="1" applyBorder="1" applyAlignment="1">
      <alignment horizontal="right" vertical="center" wrapText="1"/>
    </xf>
    <xf numFmtId="4" fontId="1" fillId="15" borderId="1" xfId="0" applyNumberFormat="1" applyFont="1" applyFill="1" applyBorder="1" applyAlignment="1">
      <alignment horizontal="center" vertical="center" wrapText="1"/>
    </xf>
    <xf numFmtId="4" fontId="1" fillId="16" borderId="1" xfId="0" applyNumberFormat="1" applyFont="1" applyFill="1" applyBorder="1" applyAlignment="1">
      <alignment horizontal="center" vertical="center" wrapText="1"/>
    </xf>
    <xf numFmtId="4" fontId="1" fillId="17" borderId="1" xfId="0" applyNumberFormat="1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4" fontId="1" fillId="19" borderId="1" xfId="0" applyNumberFormat="1" applyFont="1" applyFill="1" applyBorder="1" applyAlignment="1">
      <alignment horizontal="center" vertical="center" wrapText="1"/>
    </xf>
    <xf numFmtId="4" fontId="1" fillId="19" borderId="1" xfId="0" applyNumberFormat="1" applyFont="1" applyFill="1" applyBorder="1" applyAlignment="1">
      <alignment horizontal="right" vertical="center" wrapText="1"/>
    </xf>
    <xf numFmtId="4" fontId="1" fillId="18" borderId="1" xfId="0" applyNumberFormat="1" applyFont="1" applyFill="1" applyBorder="1" applyAlignment="1">
      <alignment horizontal="center" vertical="center" wrapText="1"/>
    </xf>
    <xf numFmtId="4" fontId="1" fillId="18" borderId="1" xfId="0" applyNumberFormat="1" applyFont="1" applyFill="1" applyBorder="1" applyAlignment="1">
      <alignment horizontal="right" vertical="center" wrapText="1"/>
    </xf>
    <xf numFmtId="4" fontId="1" fillId="20" borderId="1" xfId="0" applyNumberFormat="1" applyFont="1" applyFill="1" applyBorder="1" applyAlignment="1">
      <alignment horizontal="center" vertical="center" wrapText="1"/>
    </xf>
    <xf numFmtId="4" fontId="1" fillId="21" borderId="1" xfId="0" applyNumberFormat="1" applyFont="1" applyFill="1" applyBorder="1" applyAlignment="1">
      <alignment horizontal="center" vertical="center" wrapText="1"/>
    </xf>
    <xf numFmtId="4" fontId="5" fillId="12" borderId="1" xfId="0" applyNumberFormat="1" applyFont="1" applyFill="1" applyBorder="1" applyAlignment="1">
      <alignment horizontal="center" vertical="center" wrapText="1"/>
    </xf>
    <xf numFmtId="4" fontId="9" fillId="18" borderId="1" xfId="0" applyNumberFormat="1" applyFont="1" applyFill="1" applyBorder="1" applyAlignment="1">
      <alignment horizontal="center" vertical="center" wrapText="1"/>
    </xf>
    <xf numFmtId="164" fontId="1" fillId="10" borderId="1" xfId="1" applyFont="1" applyFill="1" applyBorder="1" applyAlignment="1">
      <alignment horizontal="center" vertical="center" wrapText="1"/>
    </xf>
    <xf numFmtId="164" fontId="1" fillId="10" borderId="1" xfId="1" applyFont="1" applyFill="1" applyBorder="1" applyAlignment="1">
      <alignment horizontal="right" vertical="center" wrapText="1"/>
    </xf>
    <xf numFmtId="164" fontId="1" fillId="11" borderId="1" xfId="1" applyFont="1" applyFill="1" applyBorder="1" applyAlignment="1">
      <alignment horizontal="right" vertical="center" wrapText="1"/>
    </xf>
    <xf numFmtId="164" fontId="6" fillId="12" borderId="1" xfId="1" applyFont="1" applyFill="1" applyBorder="1" applyAlignment="1">
      <alignment horizontal="center" vertical="center" wrapText="1"/>
    </xf>
    <xf numFmtId="164" fontId="6" fillId="12" borderId="1" xfId="1" applyFont="1" applyFill="1" applyBorder="1" applyAlignment="1">
      <alignment horizontal="right" vertical="center" wrapText="1"/>
    </xf>
    <xf numFmtId="166" fontId="1" fillId="10" borderId="1" xfId="1" applyNumberFormat="1" applyFont="1" applyFill="1" applyBorder="1" applyAlignment="1">
      <alignment horizontal="right" vertical="center" wrapText="1"/>
    </xf>
    <xf numFmtId="4" fontId="2" fillId="22" borderId="1" xfId="0" applyNumberFormat="1" applyFont="1" applyFill="1" applyBorder="1" applyAlignment="1">
      <alignment horizontal="center" vertical="center" wrapText="1"/>
    </xf>
    <xf numFmtId="4" fontId="2" fillId="23" borderId="1" xfId="0" applyNumberFormat="1" applyFont="1" applyFill="1" applyBorder="1" applyAlignment="1">
      <alignment horizontal="center" vertical="center" wrapText="1"/>
    </xf>
    <xf numFmtId="4" fontId="2" fillId="10" borderId="1" xfId="0" applyNumberFormat="1" applyFont="1" applyFill="1" applyBorder="1" applyAlignment="1">
      <alignment horizontal="center" vertical="center" wrapText="1"/>
    </xf>
    <xf numFmtId="4" fontId="2" fillId="12" borderId="1" xfId="0" applyNumberFormat="1" applyFont="1" applyFill="1" applyBorder="1" applyAlignment="1">
      <alignment horizontal="center" vertical="center" wrapText="1"/>
    </xf>
    <xf numFmtId="4" fontId="5" fillId="11" borderId="1" xfId="0" applyNumberFormat="1" applyFont="1" applyFill="1" applyBorder="1" applyAlignment="1">
      <alignment horizontal="right" vertical="center"/>
    </xf>
    <xf numFmtId="4" fontId="5" fillId="12" borderId="1" xfId="0" applyNumberFormat="1" applyFont="1" applyFill="1" applyBorder="1" applyAlignment="1">
      <alignment horizontal="center" vertical="center"/>
    </xf>
    <xf numFmtId="4" fontId="1" fillId="24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4" fontId="5" fillId="18" borderId="1" xfId="0" applyNumberFormat="1" applyFont="1" applyFill="1" applyBorder="1" applyAlignment="1">
      <alignment horizontal="center" vertical="center" wrapText="1"/>
    </xf>
    <xf numFmtId="4" fontId="5" fillId="18" borderId="1" xfId="0" applyNumberFormat="1" applyFont="1" applyFill="1" applyBorder="1" applyAlignment="1">
      <alignment horizontal="right" vertical="center" wrapText="1"/>
    </xf>
    <xf numFmtId="4" fontId="5" fillId="18" borderId="1" xfId="0" applyNumberFormat="1" applyFont="1" applyFill="1" applyBorder="1" applyAlignment="1">
      <alignment horizontal="center" vertical="center"/>
    </xf>
    <xf numFmtId="4" fontId="5" fillId="18" borderId="1" xfId="0" applyNumberFormat="1" applyFont="1" applyFill="1" applyBorder="1" applyAlignment="1">
      <alignment horizontal="right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7030A0"/>
      <rgbColor rgb="FFFDEADA"/>
      <rgbColor rgb="FFCCFFFF"/>
      <rgbColor rgb="FF660066"/>
      <rgbColor rgb="FFFF8080"/>
      <rgbColor rgb="FF0066CC"/>
      <rgbColor rgb="FFFBD4B4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B0F0"/>
      <rgbColor rgb="FFCCFFFF"/>
      <rgbColor rgb="FFFCD5B5"/>
      <rgbColor rgb="FFFDE9D9"/>
      <rgbColor rgb="FF99CCFF"/>
      <rgbColor rgb="FFFABF8F"/>
      <rgbColor rgb="FFB3A2C7"/>
      <rgbColor rgb="FFFAC090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6"/>
      <rgbColor rgb="FF984807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40"/>
  <sheetViews>
    <sheetView tabSelected="1" zoomScaleNormal="100" workbookViewId="0">
      <selection activeCell="T9" sqref="T9"/>
    </sheetView>
  </sheetViews>
  <sheetFormatPr defaultRowHeight="15" x14ac:dyDescent="0.25"/>
  <cols>
    <col min="1" max="1" width="20.140625" style="8" customWidth="1"/>
    <col min="2" max="2" width="12.7109375" style="8" customWidth="1"/>
    <col min="3" max="3" width="13.5703125" style="8" customWidth="1"/>
    <col min="4" max="4" width="12.140625" style="8" customWidth="1"/>
    <col min="5" max="5" width="15" style="8" customWidth="1"/>
    <col min="6" max="6" width="12.140625" style="8" customWidth="1"/>
    <col min="7" max="7" width="14.140625" style="8" customWidth="1"/>
    <col min="8" max="9" width="12.42578125" style="8" bestFit="1" customWidth="1"/>
    <col min="10" max="10" width="11.42578125" style="8"/>
    <col min="11" max="11" width="13.5703125" style="8" customWidth="1"/>
    <col min="12" max="12" width="12.7109375" style="8" customWidth="1"/>
    <col min="13" max="13" width="11.28515625" style="8" customWidth="1"/>
    <col min="14" max="14" width="9.140625" style="8" customWidth="1"/>
    <col min="15" max="15" width="4.42578125" style="8" hidden="1" customWidth="1"/>
    <col min="16" max="16" width="8.28515625" style="8" hidden="1" customWidth="1"/>
    <col min="17" max="17" width="12.42578125" style="8" bestFit="1" customWidth="1"/>
    <col min="18" max="1025" width="9.140625" style="8" customWidth="1"/>
  </cols>
  <sheetData>
    <row r="1" spans="1:18" x14ac:dyDescent="0.25">
      <c r="A1" s="122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8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8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8" ht="27.7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5" t="s">
        <v>8</v>
      </c>
      <c r="I4" s="125" t="s">
        <v>9</v>
      </c>
      <c r="J4" s="125"/>
      <c r="K4" s="125" t="s">
        <v>10</v>
      </c>
      <c r="L4" s="125"/>
      <c r="M4" s="112"/>
    </row>
    <row r="5" spans="1:18" ht="71.25" customHeight="1" x14ac:dyDescent="0.25">
      <c r="A5" s="112"/>
      <c r="B5" s="112"/>
      <c r="C5" s="112"/>
      <c r="D5" s="124"/>
      <c r="E5" s="124"/>
      <c r="F5" s="124"/>
      <c r="G5" s="124"/>
      <c r="H5" s="125"/>
      <c r="I5" s="1" t="s">
        <v>38</v>
      </c>
      <c r="J5" s="1" t="s">
        <v>39</v>
      </c>
      <c r="K5" s="1" t="s">
        <v>40</v>
      </c>
      <c r="L5" s="1" t="s">
        <v>41</v>
      </c>
      <c r="M5" s="112"/>
      <c r="P5" s="6" t="s">
        <v>42</v>
      </c>
    </row>
    <row r="6" spans="1:18" s="19" customFormat="1" ht="14.25" x14ac:dyDescent="0.25">
      <c r="A6" s="15" t="s">
        <v>16</v>
      </c>
      <c r="B6" s="16" t="s">
        <v>17</v>
      </c>
      <c r="C6" s="16"/>
      <c r="D6" s="17" t="s">
        <v>11</v>
      </c>
      <c r="E6" s="17">
        <v>4</v>
      </c>
      <c r="F6" s="18" t="s">
        <v>43</v>
      </c>
      <c r="G6" s="18" t="s">
        <v>44</v>
      </c>
      <c r="H6" s="128">
        <f>SUM(I6:L6)</f>
        <v>31372142.25</v>
      </c>
      <c r="I6" s="130">
        <f>29153042+650493.11</f>
        <v>29803535.109999999</v>
      </c>
      <c r="J6" s="131">
        <v>0</v>
      </c>
      <c r="K6" s="131">
        <f>1534370.66+34236.48</f>
        <v>1568607.14</v>
      </c>
      <c r="L6" s="108">
        <v>0</v>
      </c>
      <c r="M6" s="109">
        <v>0</v>
      </c>
      <c r="O6" s="17" t="s">
        <v>11</v>
      </c>
      <c r="P6" s="20">
        <f t="shared" ref="P6:P17" si="0">SUM(I6,J6)</f>
        <v>29803535.109999999</v>
      </c>
    </row>
    <row r="7" spans="1:18" s="19" customFormat="1" ht="14.25" customHeight="1" x14ac:dyDescent="0.25">
      <c r="A7" s="21" t="s">
        <v>18</v>
      </c>
      <c r="B7" s="22" t="s">
        <v>19</v>
      </c>
      <c r="C7" s="22"/>
      <c r="D7" s="23" t="s">
        <v>11</v>
      </c>
      <c r="E7" s="23">
        <v>4</v>
      </c>
      <c r="F7" s="24" t="s">
        <v>43</v>
      </c>
      <c r="G7" s="24" t="s">
        <v>44</v>
      </c>
      <c r="H7" s="128">
        <f>SUM(I7:L7)</f>
        <v>16297070.41</v>
      </c>
      <c r="I7" s="128">
        <f>16132710-650493.11</f>
        <v>15482216.890000001</v>
      </c>
      <c r="J7" s="129">
        <v>0</v>
      </c>
      <c r="K7" s="129">
        <f>849090-34236.48</f>
        <v>814853.52</v>
      </c>
      <c r="L7" s="65">
        <v>0</v>
      </c>
      <c r="M7" s="96">
        <v>0</v>
      </c>
      <c r="O7" s="23" t="s">
        <v>11</v>
      </c>
      <c r="P7" s="20">
        <f t="shared" si="0"/>
        <v>15482216.890000001</v>
      </c>
      <c r="Q7" s="28"/>
    </row>
    <row r="8" spans="1:18" s="19" customFormat="1" ht="14.25" customHeight="1" x14ac:dyDescent="0.25">
      <c r="A8" s="21" t="s">
        <v>45</v>
      </c>
      <c r="B8" s="22" t="s">
        <v>46</v>
      </c>
      <c r="C8" s="22"/>
      <c r="D8" s="23" t="s">
        <v>11</v>
      </c>
      <c r="E8" s="23">
        <v>4</v>
      </c>
      <c r="F8" s="24" t="s">
        <v>43</v>
      </c>
      <c r="G8" s="24" t="s">
        <v>44</v>
      </c>
      <c r="H8" s="76">
        <v>1309200</v>
      </c>
      <c r="I8" s="76">
        <v>1243740</v>
      </c>
      <c r="J8" s="65">
        <v>0</v>
      </c>
      <c r="K8" s="65">
        <v>0</v>
      </c>
      <c r="L8" s="65">
        <v>65460</v>
      </c>
      <c r="M8" s="96">
        <v>0</v>
      </c>
      <c r="O8" s="23" t="s">
        <v>11</v>
      </c>
      <c r="P8" s="20">
        <f t="shared" si="0"/>
        <v>1243740</v>
      </c>
    </row>
    <row r="9" spans="1:18" s="19" customFormat="1" ht="14.25" x14ac:dyDescent="0.25">
      <c r="A9" s="21" t="s">
        <v>47</v>
      </c>
      <c r="B9" s="22" t="s">
        <v>48</v>
      </c>
      <c r="C9" s="22"/>
      <c r="D9" s="23" t="s">
        <v>13</v>
      </c>
      <c r="E9" s="25" t="s">
        <v>49</v>
      </c>
      <c r="F9" s="24" t="s">
        <v>50</v>
      </c>
      <c r="G9" s="24" t="s">
        <v>51</v>
      </c>
      <c r="H9" s="76">
        <f>988.34*1000</f>
        <v>988340</v>
      </c>
      <c r="I9" s="76">
        <f>593*1000</f>
        <v>593000</v>
      </c>
      <c r="J9" s="65">
        <f>197.67*1000</f>
        <v>197670</v>
      </c>
      <c r="K9" s="65">
        <v>0</v>
      </c>
      <c r="L9" s="65">
        <f>197.668*1000</f>
        <v>197668</v>
      </c>
      <c r="M9" s="96">
        <v>0</v>
      </c>
      <c r="O9" s="23" t="s">
        <v>13</v>
      </c>
      <c r="P9" s="20">
        <f t="shared" si="0"/>
        <v>790670</v>
      </c>
    </row>
    <row r="10" spans="1:18" s="19" customFormat="1" ht="14.25" customHeight="1" x14ac:dyDescent="0.25">
      <c r="A10" s="119" t="s">
        <v>20</v>
      </c>
      <c r="B10" s="22" t="s">
        <v>21</v>
      </c>
      <c r="C10" s="22"/>
      <c r="D10" s="23" t="s">
        <v>13</v>
      </c>
      <c r="E10" s="25" t="s">
        <v>49</v>
      </c>
      <c r="F10" s="24" t="s">
        <v>50</v>
      </c>
      <c r="G10" s="24" t="s">
        <v>52</v>
      </c>
      <c r="H10" s="76">
        <f>21546.66*1000</f>
        <v>21546660</v>
      </c>
      <c r="I10" s="76">
        <f>8080*1000</f>
        <v>8080000</v>
      </c>
      <c r="J10" s="65">
        <f>2693.33*1000</f>
        <v>2693330</v>
      </c>
      <c r="K10" s="65">
        <v>0</v>
      </c>
      <c r="L10" s="65">
        <f>10773.33*1000</f>
        <v>10773330</v>
      </c>
      <c r="M10" s="96">
        <v>0</v>
      </c>
      <c r="O10" s="23" t="s">
        <v>13</v>
      </c>
      <c r="P10" s="20">
        <f t="shared" si="0"/>
        <v>10773330</v>
      </c>
    </row>
    <row r="11" spans="1:18" s="19" customFormat="1" ht="14.25" x14ac:dyDescent="0.25">
      <c r="A11" s="119"/>
      <c r="B11" s="26" t="s">
        <v>23</v>
      </c>
      <c r="C11" s="26"/>
      <c r="D11" s="23" t="s">
        <v>13</v>
      </c>
      <c r="E11" s="25" t="s">
        <v>49</v>
      </c>
      <c r="F11" s="24" t="s">
        <v>50</v>
      </c>
      <c r="G11" s="24" t="s">
        <v>52</v>
      </c>
      <c r="H11" s="76">
        <f>1322.68*1000</f>
        <v>1322680</v>
      </c>
      <c r="I11" s="76">
        <f>496*1000</f>
        <v>496000</v>
      </c>
      <c r="J11" s="65">
        <f>165.34*1000</f>
        <v>165340</v>
      </c>
      <c r="K11" s="65">
        <v>0</v>
      </c>
      <c r="L11" s="65">
        <f>661.34*1000</f>
        <v>661340</v>
      </c>
      <c r="M11" s="96">
        <v>0</v>
      </c>
      <c r="O11" s="23" t="s">
        <v>13</v>
      </c>
      <c r="P11" s="20">
        <f t="shared" si="0"/>
        <v>661340</v>
      </c>
    </row>
    <row r="12" spans="1:18" s="19" customFormat="1" ht="14.25" x14ac:dyDescent="0.25">
      <c r="A12" s="119"/>
      <c r="B12" s="26" t="s">
        <v>53</v>
      </c>
      <c r="C12" s="26"/>
      <c r="D12" s="23" t="s">
        <v>13</v>
      </c>
      <c r="E12" s="25" t="s">
        <v>49</v>
      </c>
      <c r="F12" s="24" t="s">
        <v>50</v>
      </c>
      <c r="G12" s="27" t="s">
        <v>52</v>
      </c>
      <c r="H12" s="76">
        <f>11419.25*1000</f>
        <v>11419250</v>
      </c>
      <c r="I12" s="76">
        <f>3854*1000</f>
        <v>3854000</v>
      </c>
      <c r="J12" s="65">
        <f>1284.67*1000</f>
        <v>1284670</v>
      </c>
      <c r="K12" s="65">
        <v>0</v>
      </c>
      <c r="L12" s="65">
        <f>6280.58*1000</f>
        <v>6280580</v>
      </c>
      <c r="M12" s="96">
        <v>0</v>
      </c>
      <c r="O12" s="23" t="s">
        <v>13</v>
      </c>
      <c r="P12" s="20">
        <f t="shared" si="0"/>
        <v>5138670</v>
      </c>
    </row>
    <row r="13" spans="1:18" s="19" customFormat="1" ht="14.25" customHeight="1" x14ac:dyDescent="0.25">
      <c r="A13" s="119" t="s">
        <v>24</v>
      </c>
      <c r="B13" s="26" t="s">
        <v>25</v>
      </c>
      <c r="C13" s="26"/>
      <c r="D13" s="23" t="s">
        <v>22</v>
      </c>
      <c r="E13" s="23">
        <v>2</v>
      </c>
      <c r="F13" s="24" t="s">
        <v>54</v>
      </c>
      <c r="G13" s="24" t="s">
        <v>55</v>
      </c>
      <c r="H13" s="63">
        <f>37408*1000</f>
        <v>37408000</v>
      </c>
      <c r="I13" s="63">
        <f>31796.8*1000</f>
        <v>31796800</v>
      </c>
      <c r="J13" s="64">
        <f>2880.4*1000</f>
        <v>2880400</v>
      </c>
      <c r="K13" s="64">
        <v>915.2</v>
      </c>
      <c r="L13" s="64">
        <f>1815.6*1000</f>
        <v>1815600</v>
      </c>
      <c r="M13" s="96">
        <v>0</v>
      </c>
      <c r="N13" s="28"/>
      <c r="O13" s="23" t="s">
        <v>22</v>
      </c>
      <c r="P13" s="20">
        <f t="shared" si="0"/>
        <v>34677200</v>
      </c>
    </row>
    <row r="14" spans="1:18" s="19" customFormat="1" ht="14.25" x14ac:dyDescent="0.25">
      <c r="A14" s="119"/>
      <c r="B14" s="29" t="s">
        <v>26</v>
      </c>
      <c r="C14" s="29"/>
      <c r="D14" s="17" t="s">
        <v>11</v>
      </c>
      <c r="E14" s="17">
        <v>4</v>
      </c>
      <c r="F14" s="18" t="s">
        <v>43</v>
      </c>
      <c r="G14" s="18" t="s">
        <v>44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9">
        <v>0</v>
      </c>
      <c r="O14" s="17" t="s">
        <v>11</v>
      </c>
      <c r="P14" s="20">
        <f t="shared" si="0"/>
        <v>0</v>
      </c>
      <c r="R14" s="19" t="s">
        <v>56</v>
      </c>
    </row>
    <row r="15" spans="1:18" s="19" customFormat="1" ht="14.25" x14ac:dyDescent="0.25">
      <c r="A15" s="119"/>
      <c r="B15" s="26" t="s">
        <v>57</v>
      </c>
      <c r="C15" s="26"/>
      <c r="D15" s="23" t="s">
        <v>22</v>
      </c>
      <c r="E15" s="23">
        <v>2</v>
      </c>
      <c r="F15" s="24" t="s">
        <v>54</v>
      </c>
      <c r="G15" s="24" t="s">
        <v>55</v>
      </c>
      <c r="H15" s="63">
        <f>10010*1000</f>
        <v>10010000</v>
      </c>
      <c r="I15" s="63">
        <f>8508.5*1000</f>
        <v>8508500</v>
      </c>
      <c r="J15" s="64">
        <f>1220.96*1000</f>
        <v>1220960</v>
      </c>
      <c r="K15" s="65">
        <v>130.54</v>
      </c>
      <c r="L15" s="65">
        <f>150*1000</f>
        <v>150000</v>
      </c>
      <c r="M15" s="96">
        <v>0</v>
      </c>
      <c r="O15" s="23" t="s">
        <v>22</v>
      </c>
      <c r="P15" s="20">
        <f t="shared" si="0"/>
        <v>9729460</v>
      </c>
    </row>
    <row r="16" spans="1:18" s="35" customFormat="1" ht="14.25" hidden="1" x14ac:dyDescent="0.25">
      <c r="A16" s="119"/>
      <c r="B16" s="30" t="s">
        <v>58</v>
      </c>
      <c r="C16" s="30"/>
      <c r="D16" s="31" t="s">
        <v>22</v>
      </c>
      <c r="E16" s="31">
        <v>2</v>
      </c>
      <c r="F16" s="32" t="s">
        <v>54</v>
      </c>
      <c r="G16" s="32" t="s">
        <v>55</v>
      </c>
      <c r="H16" s="70">
        <v>0</v>
      </c>
      <c r="I16" s="70">
        <v>0</v>
      </c>
      <c r="J16" s="71">
        <v>0</v>
      </c>
      <c r="K16" s="71">
        <v>0</v>
      </c>
      <c r="L16" s="71">
        <v>0</v>
      </c>
      <c r="M16" s="70">
        <v>0</v>
      </c>
      <c r="O16" s="31" t="s">
        <v>22</v>
      </c>
      <c r="P16" s="36">
        <f t="shared" si="0"/>
        <v>0</v>
      </c>
    </row>
    <row r="17" spans="1:16" ht="28.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1"/>
      <c r="G17" s="11" t="s">
        <v>60</v>
      </c>
      <c r="H17" s="74">
        <f>5402.35*1000</f>
        <v>5402350</v>
      </c>
      <c r="I17" s="74">
        <f>4592*1000</f>
        <v>4592000</v>
      </c>
      <c r="J17" s="84">
        <v>0</v>
      </c>
      <c r="K17" s="84">
        <v>810.34705882353001</v>
      </c>
      <c r="L17" s="84">
        <v>0</v>
      </c>
      <c r="M17" s="74">
        <v>0</v>
      </c>
      <c r="O17" s="10" t="s">
        <v>59</v>
      </c>
      <c r="P17" s="14">
        <f t="shared" si="0"/>
        <v>4592000</v>
      </c>
    </row>
    <row r="18" spans="1:16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</row>
    <row r="20" spans="1:16" x14ac:dyDescent="0.25">
      <c r="A20" s="121" t="s">
        <v>89</v>
      </c>
      <c r="B20" s="121"/>
      <c r="C20" s="121"/>
      <c r="D20" s="121"/>
      <c r="E20" s="121"/>
      <c r="F20" s="121"/>
      <c r="H20" s="41"/>
    </row>
    <row r="21" spans="1:16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  <c r="G21" s="42" t="s">
        <v>42</v>
      </c>
    </row>
    <row r="22" spans="1:16" ht="14.25" customHeight="1" x14ac:dyDescent="0.25">
      <c r="A22" s="112" t="s">
        <v>30</v>
      </c>
      <c r="B22" s="9" t="s">
        <v>11</v>
      </c>
      <c r="C22" s="94">
        <f>SUM(I6:I8)</f>
        <v>46529492</v>
      </c>
      <c r="D22" s="94">
        <v>0</v>
      </c>
      <c r="E22" s="94">
        <f>C22+D22</f>
        <v>46529492</v>
      </c>
      <c r="G22" s="44">
        <f>SUM(I6,I7,I8,I14,J6,J7,J8,J14)</f>
        <v>46529492</v>
      </c>
    </row>
    <row r="23" spans="1:16" x14ac:dyDescent="0.25">
      <c r="A23" s="112"/>
      <c r="B23" s="9" t="s">
        <v>14</v>
      </c>
      <c r="C23" s="110">
        <f>4592*1000</f>
        <v>4592000</v>
      </c>
      <c r="D23" s="110">
        <v>0</v>
      </c>
      <c r="E23" s="110">
        <f>C23+D23</f>
        <v>4592000</v>
      </c>
      <c r="G23" s="44">
        <f>SUM(I17,J17)</f>
        <v>4592000</v>
      </c>
    </row>
    <row r="24" spans="1:16" x14ac:dyDescent="0.25">
      <c r="A24" s="112"/>
      <c r="B24" s="4" t="s">
        <v>31</v>
      </c>
      <c r="C24" s="95">
        <f>SUM(C22+C23)</f>
        <v>51121492</v>
      </c>
      <c r="D24" s="95">
        <f t="shared" ref="D24:E24" si="1">SUM(D22+D23)</f>
        <v>0</v>
      </c>
      <c r="E24" s="95">
        <f t="shared" si="1"/>
        <v>51121492</v>
      </c>
      <c r="G24" s="35"/>
    </row>
    <row r="25" spans="1:16" ht="14.25" customHeight="1" x14ac:dyDescent="0.25">
      <c r="A25" s="112" t="s">
        <v>32</v>
      </c>
      <c r="B25" s="9" t="s">
        <v>12</v>
      </c>
      <c r="C25" s="66">
        <f>I13+I15</f>
        <v>40305300</v>
      </c>
      <c r="D25" s="66">
        <f>J13+J15</f>
        <v>4101360</v>
      </c>
      <c r="E25" s="66">
        <f>C25+D25</f>
        <v>44406660</v>
      </c>
      <c r="G25" s="44">
        <f>SUM(I13,I15,I16,J13,J15,J16)</f>
        <v>44406660</v>
      </c>
    </row>
    <row r="26" spans="1:16" x14ac:dyDescent="0.25">
      <c r="A26" s="112"/>
      <c r="B26" s="4" t="s">
        <v>33</v>
      </c>
      <c r="C26" s="45">
        <f>C25</f>
        <v>40305300</v>
      </c>
      <c r="D26" s="45">
        <f>D25</f>
        <v>4101360</v>
      </c>
      <c r="E26" s="45">
        <f>E25</f>
        <v>44406660</v>
      </c>
      <c r="G26" s="35"/>
    </row>
    <row r="27" spans="1:16" ht="14.25" customHeight="1" x14ac:dyDescent="0.25">
      <c r="A27" s="112" t="s">
        <v>34</v>
      </c>
      <c r="B27" s="13" t="s">
        <v>13</v>
      </c>
      <c r="C27" s="43">
        <f>SUM(I9:I12)</f>
        <v>13023000</v>
      </c>
      <c r="D27" s="43">
        <f>SUM(J9:J12)</f>
        <v>4341010</v>
      </c>
      <c r="E27" s="43">
        <f>C27+D27</f>
        <v>17364010</v>
      </c>
      <c r="G27" s="44">
        <f>SUM(I9,I10,I11,I12,J9,J10,J11,J12)</f>
        <v>17364010</v>
      </c>
    </row>
    <row r="28" spans="1:16" x14ac:dyDescent="0.25">
      <c r="A28" s="112"/>
      <c r="B28" s="4" t="s">
        <v>35</v>
      </c>
      <c r="C28" s="45">
        <f>C27</f>
        <v>13023000</v>
      </c>
      <c r="D28" s="45">
        <f t="shared" ref="D28:E28" si="2">D27</f>
        <v>4341010</v>
      </c>
      <c r="E28" s="45">
        <f t="shared" si="2"/>
        <v>17364010</v>
      </c>
      <c r="G28" s="35"/>
    </row>
    <row r="29" spans="1:16" x14ac:dyDescent="0.25">
      <c r="A29" s="7" t="s">
        <v>36</v>
      </c>
      <c r="B29" s="4" t="s">
        <v>15</v>
      </c>
      <c r="C29" s="104">
        <f>C28+C26+C24</f>
        <v>104449792</v>
      </c>
      <c r="D29" s="104">
        <f t="shared" ref="D29:E29" si="3">D28+D26+D24</f>
        <v>8442370</v>
      </c>
      <c r="E29" s="104">
        <f t="shared" si="3"/>
        <v>112892162</v>
      </c>
      <c r="G29" s="44">
        <f>SUM(G22:G28)</f>
        <v>112892162</v>
      </c>
    </row>
    <row r="31" spans="1:16" x14ac:dyDescent="0.25">
      <c r="A31" s="113" t="s">
        <v>61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6" ht="15" customHeight="1" x14ac:dyDescent="0.25">
      <c r="A32" s="114" t="s">
        <v>62</v>
      </c>
      <c r="B32" s="114" t="s">
        <v>63</v>
      </c>
      <c r="C32" s="114" t="s">
        <v>6</v>
      </c>
      <c r="D32" s="114" t="s">
        <v>64</v>
      </c>
      <c r="E32" s="115" t="s">
        <v>90</v>
      </c>
      <c r="F32" s="115"/>
      <c r="G32" s="115"/>
      <c r="H32" s="115"/>
      <c r="I32" s="115"/>
      <c r="J32" s="116" t="s">
        <v>88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51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0" t="s">
        <v>54</v>
      </c>
      <c r="D36" s="50" t="s">
        <v>55</v>
      </c>
      <c r="E36" s="67">
        <f t="shared" ref="E36:J36" si="4">SUM(H13,H15,H16)</f>
        <v>47418000</v>
      </c>
      <c r="F36" s="67">
        <f t="shared" si="4"/>
        <v>40305300</v>
      </c>
      <c r="G36" s="67">
        <f t="shared" si="4"/>
        <v>4101360</v>
      </c>
      <c r="H36" s="67">
        <f t="shared" si="4"/>
        <v>1045.74</v>
      </c>
      <c r="I36" s="67">
        <f t="shared" si="4"/>
        <v>1965600</v>
      </c>
      <c r="J36" s="80">
        <f t="shared" si="4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80">
        <f t="shared" ref="E37:J37" si="5">SUM(H10,H11,H12)</f>
        <v>34288590</v>
      </c>
      <c r="F37" s="80">
        <f t="shared" si="5"/>
        <v>12430000</v>
      </c>
      <c r="G37" s="80">
        <f t="shared" si="5"/>
        <v>4143340</v>
      </c>
      <c r="H37" s="80">
        <f t="shared" si="5"/>
        <v>0</v>
      </c>
      <c r="I37" s="80">
        <f t="shared" si="5"/>
        <v>17715250</v>
      </c>
      <c r="J37" s="80">
        <f t="shared" si="5"/>
        <v>0</v>
      </c>
    </row>
    <row r="38" spans="1:10" ht="15.75" customHeight="1" x14ac:dyDescent="0.25">
      <c r="A38" s="111"/>
      <c r="B38" s="52" t="s">
        <v>49</v>
      </c>
      <c r="C38" s="52" t="s">
        <v>50</v>
      </c>
      <c r="D38" s="52" t="s">
        <v>51</v>
      </c>
      <c r="E38" s="80">
        <f t="shared" ref="E38:J38" si="6">SUM(H9)</f>
        <v>988340</v>
      </c>
      <c r="F38" s="80">
        <f t="shared" si="6"/>
        <v>593000</v>
      </c>
      <c r="G38" s="80">
        <f t="shared" si="6"/>
        <v>197670</v>
      </c>
      <c r="H38" s="80">
        <f t="shared" si="6"/>
        <v>0</v>
      </c>
      <c r="I38" s="80">
        <f t="shared" si="6"/>
        <v>197668</v>
      </c>
      <c r="J38" s="80">
        <f t="shared" si="6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97">
        <f t="shared" ref="E39:J39" si="7">SUM(H6,H7,H8,H14)</f>
        <v>48978412.659999996</v>
      </c>
      <c r="F39" s="97">
        <f t="shared" si="7"/>
        <v>46529492</v>
      </c>
      <c r="G39" s="97">
        <f t="shared" si="7"/>
        <v>0</v>
      </c>
      <c r="H39" s="97">
        <f t="shared" si="7"/>
        <v>2383460.66</v>
      </c>
      <c r="I39" s="97">
        <f t="shared" si="7"/>
        <v>65460</v>
      </c>
      <c r="J39" s="80">
        <f t="shared" si="7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80">
        <f t="shared" ref="E40:J40" si="8">SUM(H17)</f>
        <v>5402350</v>
      </c>
      <c r="F40" s="80">
        <f t="shared" si="8"/>
        <v>4592000</v>
      </c>
      <c r="G40" s="80">
        <f t="shared" si="8"/>
        <v>0</v>
      </c>
      <c r="H40" s="80">
        <f t="shared" si="8"/>
        <v>810.34705882353001</v>
      </c>
      <c r="I40" s="80">
        <f t="shared" si="8"/>
        <v>0</v>
      </c>
      <c r="J40" s="80">
        <f t="shared" si="8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F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0"/>
  <sheetViews>
    <sheetView zoomScaleNormal="100" workbookViewId="0">
      <selection activeCell="G24" sqref="G24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0.7109375" style="8" customWidth="1"/>
    <col min="8" max="10" width="11.42578125" style="8"/>
    <col min="11" max="11" width="13.5703125" style="8" customWidth="1"/>
    <col min="12" max="12" width="9.85546875" style="8" customWidth="1"/>
    <col min="13" max="14" width="9.140625" style="8" customWidth="1"/>
    <col min="15" max="15" width="9.85546875" style="8" customWidth="1"/>
    <col min="16" max="1025" width="9.140625" style="8" customWidth="1"/>
  </cols>
  <sheetData>
    <row r="1" spans="1:15" x14ac:dyDescent="0.25">
      <c r="A1" s="122" t="s">
        <v>69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5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5" ht="14.2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5" t="s">
        <v>70</v>
      </c>
      <c r="I4" s="125" t="s">
        <v>9</v>
      </c>
      <c r="J4" s="125"/>
      <c r="K4" s="125" t="s">
        <v>10</v>
      </c>
      <c r="L4" s="125"/>
      <c r="M4" s="112"/>
    </row>
    <row r="5" spans="1:15" ht="55.5" customHeight="1" x14ac:dyDescent="0.25">
      <c r="A5" s="112"/>
      <c r="B5" s="112"/>
      <c r="C5" s="112"/>
      <c r="D5" s="124"/>
      <c r="E5" s="124"/>
      <c r="F5" s="124"/>
      <c r="G5" s="124"/>
      <c r="H5" s="125"/>
      <c r="I5" s="1" t="s">
        <v>38</v>
      </c>
      <c r="J5" s="1" t="s">
        <v>39</v>
      </c>
      <c r="K5" s="1" t="s">
        <v>40</v>
      </c>
      <c r="L5" s="1" t="s">
        <v>41</v>
      </c>
      <c r="M5" s="112"/>
    </row>
    <row r="6" spans="1:15" x14ac:dyDescent="0.25">
      <c r="A6" s="5" t="s">
        <v>16</v>
      </c>
      <c r="B6" s="9" t="s">
        <v>17</v>
      </c>
      <c r="C6" s="9"/>
      <c r="D6" s="10" t="s">
        <v>11</v>
      </c>
      <c r="E6" s="17">
        <v>4</v>
      </c>
      <c r="F6" s="18" t="s">
        <v>43</v>
      </c>
      <c r="G6" s="11" t="s">
        <v>44</v>
      </c>
      <c r="H6" s="74">
        <f>I6/0.95</f>
        <v>0</v>
      </c>
      <c r="I6" s="74">
        <v>0</v>
      </c>
      <c r="J6" s="84">
        <v>0</v>
      </c>
      <c r="K6" s="84">
        <f>H6*0.05</f>
        <v>0</v>
      </c>
      <c r="L6" s="84">
        <v>0</v>
      </c>
      <c r="M6" s="39">
        <v>0</v>
      </c>
      <c r="O6" s="14"/>
    </row>
    <row r="7" spans="1:15" ht="14.25" customHeight="1" x14ac:dyDescent="0.25">
      <c r="A7" s="5" t="s">
        <v>18</v>
      </c>
      <c r="B7" s="9" t="s">
        <v>19</v>
      </c>
      <c r="C7" s="9"/>
      <c r="D7" s="10" t="s">
        <v>11</v>
      </c>
      <c r="E7" s="57">
        <v>4</v>
      </c>
      <c r="F7" s="24" t="s">
        <v>43</v>
      </c>
      <c r="G7" s="11" t="s">
        <v>44</v>
      </c>
      <c r="H7" s="74">
        <f>I7/0.95</f>
        <v>0</v>
      </c>
      <c r="I7" s="74">
        <v>0</v>
      </c>
      <c r="J7" s="84">
        <v>0</v>
      </c>
      <c r="K7" s="84">
        <f>H7*0.05</f>
        <v>0</v>
      </c>
      <c r="L7" s="84">
        <v>0</v>
      </c>
      <c r="M7" s="39">
        <v>0</v>
      </c>
      <c r="O7" s="14"/>
    </row>
    <row r="8" spans="1:15" ht="14.25" customHeight="1" x14ac:dyDescent="0.25">
      <c r="A8" s="5" t="s">
        <v>45</v>
      </c>
      <c r="B8" s="9" t="s">
        <v>46</v>
      </c>
      <c r="C8" s="9"/>
      <c r="D8" s="10" t="s">
        <v>11</v>
      </c>
      <c r="E8" s="57">
        <v>4</v>
      </c>
      <c r="F8" s="24" t="s">
        <v>43</v>
      </c>
      <c r="G8" s="11" t="s">
        <v>44</v>
      </c>
      <c r="H8" s="74">
        <f>I8/0.95</f>
        <v>0</v>
      </c>
      <c r="I8" s="74">
        <v>0</v>
      </c>
      <c r="J8" s="84">
        <v>0</v>
      </c>
      <c r="K8" s="84">
        <f>H8*0.025</f>
        <v>0</v>
      </c>
      <c r="L8" s="84">
        <f>H8*0.025</f>
        <v>0</v>
      </c>
      <c r="M8" s="39">
        <v>0</v>
      </c>
      <c r="O8" s="14"/>
    </row>
    <row r="9" spans="1:15" x14ac:dyDescent="0.25">
      <c r="A9" s="5" t="s">
        <v>47</v>
      </c>
      <c r="B9" s="9" t="s">
        <v>48</v>
      </c>
      <c r="C9" s="9"/>
      <c r="D9" s="10" t="s">
        <v>13</v>
      </c>
      <c r="E9" s="27" t="s">
        <v>49</v>
      </c>
      <c r="F9" s="24" t="s">
        <v>50</v>
      </c>
      <c r="G9" s="11" t="s">
        <v>51</v>
      </c>
      <c r="H9" s="74">
        <v>0</v>
      </c>
      <c r="I9" s="74">
        <v>0</v>
      </c>
      <c r="J9" s="84">
        <f>H9*0.8*0.25</f>
        <v>0</v>
      </c>
      <c r="K9" s="84">
        <v>0</v>
      </c>
      <c r="L9" s="84">
        <f>H9*0.2</f>
        <v>0</v>
      </c>
      <c r="M9" s="39">
        <v>0</v>
      </c>
      <c r="O9" s="14"/>
    </row>
    <row r="10" spans="1:15" ht="14.25" customHeight="1" x14ac:dyDescent="0.25">
      <c r="A10" s="126" t="s">
        <v>20</v>
      </c>
      <c r="B10" s="9" t="s">
        <v>21</v>
      </c>
      <c r="C10" s="9"/>
      <c r="D10" s="10" t="s">
        <v>13</v>
      </c>
      <c r="E10" s="27" t="s">
        <v>49</v>
      </c>
      <c r="F10" s="24" t="s">
        <v>50</v>
      </c>
      <c r="G10" s="11" t="s">
        <v>52</v>
      </c>
      <c r="H10" s="74">
        <v>0</v>
      </c>
      <c r="I10" s="74">
        <v>0</v>
      </c>
      <c r="J10" s="84">
        <f>H10*0.5*0.25</f>
        <v>0</v>
      </c>
      <c r="K10" s="84">
        <v>0</v>
      </c>
      <c r="L10" s="84">
        <f>H10*0.5</f>
        <v>0</v>
      </c>
      <c r="M10" s="39">
        <v>0</v>
      </c>
      <c r="O10" s="14"/>
    </row>
    <row r="11" spans="1:15" x14ac:dyDescent="0.25">
      <c r="A11" s="126"/>
      <c r="B11" s="12" t="s">
        <v>23</v>
      </c>
      <c r="C11" s="12"/>
      <c r="D11" s="10" t="s">
        <v>13</v>
      </c>
      <c r="E11" s="27" t="s">
        <v>49</v>
      </c>
      <c r="F11" s="24" t="s">
        <v>50</v>
      </c>
      <c r="G11" s="11" t="s">
        <v>52</v>
      </c>
      <c r="H11" s="74">
        <v>0</v>
      </c>
      <c r="I11" s="74">
        <v>0</v>
      </c>
      <c r="J11" s="84">
        <f>H11*0.5*0.25</f>
        <v>0</v>
      </c>
      <c r="K11" s="84">
        <v>0</v>
      </c>
      <c r="L11" s="84">
        <f>H11*0.5</f>
        <v>0</v>
      </c>
      <c r="M11" s="39">
        <v>0</v>
      </c>
      <c r="O11" s="14"/>
    </row>
    <row r="12" spans="1:15" x14ac:dyDescent="0.25">
      <c r="A12" s="126"/>
      <c r="B12" s="12" t="s">
        <v>53</v>
      </c>
      <c r="C12" s="12"/>
      <c r="D12" s="10" t="s">
        <v>13</v>
      </c>
      <c r="E12" s="27" t="s">
        <v>49</v>
      </c>
      <c r="F12" s="24" t="s">
        <v>50</v>
      </c>
      <c r="G12" s="11" t="s">
        <v>52</v>
      </c>
      <c r="H12" s="96">
        <v>0</v>
      </c>
      <c r="I12" s="74">
        <v>0</v>
      </c>
      <c r="J12" s="84">
        <f>H12*0.45*0.25</f>
        <v>0</v>
      </c>
      <c r="K12" s="84">
        <v>0</v>
      </c>
      <c r="L12" s="84">
        <f>H12*0.55</f>
        <v>0</v>
      </c>
      <c r="M12" s="39">
        <v>0</v>
      </c>
      <c r="O12" s="14"/>
    </row>
    <row r="13" spans="1:15" ht="14.25" customHeight="1" x14ac:dyDescent="0.25">
      <c r="A13" s="126" t="s">
        <v>24</v>
      </c>
      <c r="B13" s="12" t="s">
        <v>25</v>
      </c>
      <c r="C13" s="12"/>
      <c r="D13" s="10" t="s">
        <v>22</v>
      </c>
      <c r="E13" s="57">
        <v>2</v>
      </c>
      <c r="F13" s="24" t="s">
        <v>54</v>
      </c>
      <c r="G13" s="11" t="s">
        <v>55</v>
      </c>
      <c r="H13" s="74">
        <v>0</v>
      </c>
      <c r="I13" s="74">
        <v>0</v>
      </c>
      <c r="J13" s="84">
        <f>H13/2*0.1</f>
        <v>0</v>
      </c>
      <c r="K13" s="84">
        <f>H13/2*0.05</f>
        <v>0</v>
      </c>
      <c r="L13" s="84">
        <f>H13/2*0.15</f>
        <v>0</v>
      </c>
      <c r="M13" s="39">
        <v>0</v>
      </c>
      <c r="O13" s="14"/>
    </row>
    <row r="14" spans="1:15" x14ac:dyDescent="0.25">
      <c r="A14" s="126"/>
      <c r="B14" s="12" t="s">
        <v>26</v>
      </c>
      <c r="C14" s="12"/>
      <c r="D14" s="10" t="s">
        <v>11</v>
      </c>
      <c r="E14" s="17">
        <v>4</v>
      </c>
      <c r="F14" s="18" t="s">
        <v>43</v>
      </c>
      <c r="G14" s="11" t="s">
        <v>44</v>
      </c>
      <c r="H14" s="74">
        <v>0</v>
      </c>
      <c r="I14" s="74">
        <v>0</v>
      </c>
      <c r="J14" s="84">
        <v>0</v>
      </c>
      <c r="K14" s="84">
        <v>0</v>
      </c>
      <c r="L14" s="84">
        <f>H14*0.05</f>
        <v>0</v>
      </c>
      <c r="M14" s="39">
        <v>0</v>
      </c>
      <c r="O14" s="14"/>
    </row>
    <row r="15" spans="1:15" x14ac:dyDescent="0.25">
      <c r="A15" s="126"/>
      <c r="B15" s="12" t="s">
        <v>57</v>
      </c>
      <c r="C15" s="12"/>
      <c r="D15" s="10" t="s">
        <v>22</v>
      </c>
      <c r="E15" s="23">
        <v>2</v>
      </c>
      <c r="F15" s="24" t="s">
        <v>54</v>
      </c>
      <c r="G15" s="11" t="s">
        <v>55</v>
      </c>
      <c r="H15" s="74">
        <v>0</v>
      </c>
      <c r="I15" s="74">
        <v>0</v>
      </c>
      <c r="J15" s="84">
        <f>H15*0.1</f>
        <v>0</v>
      </c>
      <c r="K15" s="84">
        <f>H15*0.05</f>
        <v>0</v>
      </c>
      <c r="L15" s="84">
        <v>0</v>
      </c>
      <c r="M15" s="39">
        <v>0</v>
      </c>
      <c r="O15" s="14"/>
    </row>
    <row r="16" spans="1:15" s="35" customFormat="1" ht="14.25" hidden="1" x14ac:dyDescent="0.25">
      <c r="A16" s="126"/>
      <c r="B16" s="30" t="s">
        <v>58</v>
      </c>
      <c r="C16" s="30"/>
      <c r="D16" s="31" t="s">
        <v>22</v>
      </c>
      <c r="E16" s="31">
        <v>2</v>
      </c>
      <c r="F16" s="32" t="s">
        <v>54</v>
      </c>
      <c r="G16" s="32" t="s">
        <v>55</v>
      </c>
      <c r="H16" s="33">
        <f>I16/0.85</f>
        <v>0</v>
      </c>
      <c r="I16" s="33">
        <v>0</v>
      </c>
      <c r="J16" s="34">
        <v>0</v>
      </c>
      <c r="K16" s="34">
        <v>0</v>
      </c>
      <c r="L16" s="34">
        <f>H16*0.15</f>
        <v>0</v>
      </c>
      <c r="M16" s="33">
        <v>0</v>
      </c>
      <c r="O16" s="36"/>
    </row>
    <row r="17" spans="1:1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0"/>
      <c r="G17" s="11" t="s">
        <v>60</v>
      </c>
      <c r="H17" s="39">
        <f>I17/0.85</f>
        <v>0</v>
      </c>
      <c r="I17" s="39">
        <v>0</v>
      </c>
      <c r="J17" s="40">
        <v>0</v>
      </c>
      <c r="K17" s="40">
        <f>H17*0.15</f>
        <v>0</v>
      </c>
      <c r="L17" s="40">
        <v>0</v>
      </c>
      <c r="M17" s="39">
        <v>0</v>
      </c>
      <c r="O17" s="14"/>
    </row>
    <row r="18" spans="1:15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  <c r="O18" s="14"/>
    </row>
    <row r="20" spans="1:15" x14ac:dyDescent="0.25">
      <c r="A20" s="127" t="s">
        <v>91</v>
      </c>
      <c r="B20" s="127"/>
      <c r="C20" s="127"/>
      <c r="D20" s="127"/>
      <c r="E20" s="127"/>
    </row>
    <row r="21" spans="1:15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</row>
    <row r="22" spans="1:15" ht="14.25" customHeight="1" x14ac:dyDescent="0.25">
      <c r="A22" s="112" t="s">
        <v>30</v>
      </c>
      <c r="B22" s="9" t="s">
        <v>11</v>
      </c>
      <c r="C22" s="39">
        <f>SUM(I6,I7,I8,I14)</f>
        <v>0</v>
      </c>
      <c r="D22" s="39">
        <f>SUM(J6,J7,J8,J14,K6,K7,K8,K14,L6,L7,L8,L14)</f>
        <v>0</v>
      </c>
      <c r="E22" s="39">
        <f>SUM(H6,H7,H8,H14)</f>
        <v>0</v>
      </c>
    </row>
    <row r="23" spans="1:15" x14ac:dyDescent="0.25">
      <c r="A23" s="112"/>
      <c r="B23" s="9" t="s">
        <v>14</v>
      </c>
      <c r="C23" s="39">
        <f>SUM((I17))</f>
        <v>0</v>
      </c>
      <c r="D23" s="39">
        <f>SUM(J17,K17,L17)</f>
        <v>0</v>
      </c>
      <c r="E23" s="39">
        <f>SUM(H17)</f>
        <v>0</v>
      </c>
    </row>
    <row r="24" spans="1:15" x14ac:dyDescent="0.25">
      <c r="A24" s="112"/>
      <c r="B24" s="4" t="s">
        <v>31</v>
      </c>
      <c r="C24" s="43">
        <f>SUM(C22:C23)</f>
        <v>0</v>
      </c>
      <c r="D24" s="43">
        <f>SUM(D22:D23)</f>
        <v>0</v>
      </c>
      <c r="E24" s="43">
        <f>SUM(E22,E23)</f>
        <v>0</v>
      </c>
    </row>
    <row r="25" spans="1:15" ht="14.25" customHeight="1" x14ac:dyDescent="0.25">
      <c r="A25" s="112" t="s">
        <v>32</v>
      </c>
      <c r="B25" s="9" t="s">
        <v>12</v>
      </c>
      <c r="C25" s="39">
        <f>SUM(I13,I15,I16)</f>
        <v>0</v>
      </c>
      <c r="D25" s="39">
        <f>SUM(J13,J15,J16,K13,K15,K16,L13,L15,L16)</f>
        <v>0</v>
      </c>
      <c r="E25" s="39">
        <f>SUM(H13,H15,H16)</f>
        <v>0</v>
      </c>
    </row>
    <row r="26" spans="1:15" x14ac:dyDescent="0.25">
      <c r="A26" s="112"/>
      <c r="B26" s="4" t="s">
        <v>33</v>
      </c>
      <c r="C26" s="43">
        <f>SUM(C25)</f>
        <v>0</v>
      </c>
      <c r="D26" s="43">
        <f>SUM(D25)</f>
        <v>0</v>
      </c>
      <c r="E26" s="43">
        <f>SUM(E25)</f>
        <v>0</v>
      </c>
    </row>
    <row r="27" spans="1:15" ht="14.25" customHeight="1" x14ac:dyDescent="0.25">
      <c r="A27" s="112" t="s">
        <v>34</v>
      </c>
      <c r="B27" s="13" t="s">
        <v>13</v>
      </c>
      <c r="C27" s="58">
        <f>SUM(I9,I10,I11,I12)</f>
        <v>0</v>
      </c>
      <c r="D27" s="39">
        <f>SUM(J9,J10,J11,J12,K9,K10,K11,K12,L9,L10,L11,L12)</f>
        <v>0</v>
      </c>
      <c r="E27" s="39">
        <f>SUM(H9,H10,H11,H12)</f>
        <v>0</v>
      </c>
    </row>
    <row r="28" spans="1:15" x14ac:dyDescent="0.25">
      <c r="A28" s="112"/>
      <c r="B28" s="4" t="s">
        <v>35</v>
      </c>
      <c r="C28" s="43">
        <f>SUM(C27)</f>
        <v>0</v>
      </c>
      <c r="D28" s="43">
        <f>SUM(D27)</f>
        <v>0</v>
      </c>
      <c r="E28" s="43">
        <f>SUM(E27)</f>
        <v>0</v>
      </c>
    </row>
    <row r="29" spans="1:15" x14ac:dyDescent="0.25">
      <c r="A29" s="7" t="s">
        <v>36</v>
      </c>
      <c r="B29" s="4" t="s">
        <v>15</v>
      </c>
      <c r="C29" s="59">
        <f>C24+C26+C28</f>
        <v>0</v>
      </c>
      <c r="D29" s="59">
        <f>D24+D26+D28</f>
        <v>0</v>
      </c>
      <c r="E29" s="59">
        <f>E24+E26+E28</f>
        <v>0</v>
      </c>
    </row>
    <row r="31" spans="1:15" x14ac:dyDescent="0.25">
      <c r="A31" s="113" t="s">
        <v>71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5" ht="15" customHeight="1" x14ac:dyDescent="0.25">
      <c r="A32" s="114" t="s">
        <v>62</v>
      </c>
      <c r="B32" s="114" t="s">
        <v>5</v>
      </c>
      <c r="C32" s="114" t="s">
        <v>6</v>
      </c>
      <c r="D32" s="114" t="s">
        <v>64</v>
      </c>
      <c r="E32" s="115" t="s">
        <v>95</v>
      </c>
      <c r="F32" s="115"/>
      <c r="G32" s="115"/>
      <c r="H32" s="115"/>
      <c r="I32" s="115"/>
      <c r="J32" s="116" t="s">
        <v>96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63.75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0" t="s">
        <v>54</v>
      </c>
      <c r="D36" s="50" t="s">
        <v>55</v>
      </c>
      <c r="E36" s="51">
        <f t="shared" ref="E36:J36" si="0">SUM(H13,H15,H16)</f>
        <v>0</v>
      </c>
      <c r="F36" s="51">
        <f t="shared" si="0"/>
        <v>0</v>
      </c>
      <c r="G36" s="51">
        <f t="shared" si="0"/>
        <v>0</v>
      </c>
      <c r="H36" s="51">
        <f t="shared" si="0"/>
        <v>0</v>
      </c>
      <c r="I36" s="51">
        <f t="shared" si="0"/>
        <v>0</v>
      </c>
      <c r="J36" s="51">
        <f t="shared" si="0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51">
        <f t="shared" ref="E37:J37" si="1">SUM(H10,H11,H12)</f>
        <v>0</v>
      </c>
      <c r="F37" s="51">
        <f t="shared" si="1"/>
        <v>0</v>
      </c>
      <c r="G37" s="51">
        <f t="shared" si="1"/>
        <v>0</v>
      </c>
      <c r="H37" s="51">
        <f t="shared" si="1"/>
        <v>0</v>
      </c>
      <c r="I37" s="51">
        <f t="shared" si="1"/>
        <v>0</v>
      </c>
      <c r="J37" s="51">
        <f t="shared" si="1"/>
        <v>0</v>
      </c>
    </row>
    <row r="38" spans="1:10" x14ac:dyDescent="0.25">
      <c r="A38" s="111"/>
      <c r="B38" s="52" t="s">
        <v>49</v>
      </c>
      <c r="C38" s="52" t="s">
        <v>50</v>
      </c>
      <c r="D38" s="52" t="s">
        <v>51</v>
      </c>
      <c r="E38" s="51">
        <f t="shared" ref="E38:J38" si="2">SUM(H9)</f>
        <v>0</v>
      </c>
      <c r="F38" s="51">
        <f t="shared" si="2"/>
        <v>0</v>
      </c>
      <c r="G38" s="51">
        <f t="shared" si="2"/>
        <v>0</v>
      </c>
      <c r="H38" s="51">
        <f t="shared" si="2"/>
        <v>0</v>
      </c>
      <c r="I38" s="51">
        <f t="shared" si="2"/>
        <v>0</v>
      </c>
      <c r="J38" s="51">
        <f t="shared" si="2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51">
        <f t="shared" ref="E39:J39" si="3">SUM(H6,H7,H8,H14)</f>
        <v>0</v>
      </c>
      <c r="F39" s="51">
        <f t="shared" si="3"/>
        <v>0</v>
      </c>
      <c r="G39" s="51">
        <f t="shared" si="3"/>
        <v>0</v>
      </c>
      <c r="H39" s="51">
        <f t="shared" si="3"/>
        <v>0</v>
      </c>
      <c r="I39" s="51">
        <f t="shared" si="3"/>
        <v>0</v>
      </c>
      <c r="J39" s="51">
        <f t="shared" si="3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51">
        <f t="shared" ref="E40:J40" si="4">SUM(H17)</f>
        <v>0</v>
      </c>
      <c r="F40" s="51">
        <f t="shared" si="4"/>
        <v>0</v>
      </c>
      <c r="G40" s="51">
        <f t="shared" si="4"/>
        <v>0</v>
      </c>
      <c r="H40" s="51">
        <f t="shared" si="4"/>
        <v>0</v>
      </c>
      <c r="I40" s="51">
        <f t="shared" si="4"/>
        <v>0</v>
      </c>
      <c r="J40" s="51">
        <f t="shared" si="4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E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40"/>
  <sheetViews>
    <sheetView topLeftCell="A17" zoomScaleNormal="100" workbookViewId="0">
      <selection activeCell="J40" sqref="E36:J40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3" style="8" customWidth="1"/>
    <col min="8" max="9" width="11.85546875" style="8" customWidth="1"/>
    <col min="10" max="10" width="11.42578125" style="8"/>
    <col min="11" max="11" width="13.5703125" style="8" customWidth="1"/>
    <col min="12" max="12" width="11.85546875" style="8" customWidth="1"/>
    <col min="13" max="14" width="9.140625" style="8" customWidth="1"/>
    <col min="15" max="15" width="9.85546875" style="8" customWidth="1"/>
    <col min="16" max="1025" width="9.140625" style="8" customWidth="1"/>
  </cols>
  <sheetData>
    <row r="1" spans="1:15" x14ac:dyDescent="0.25">
      <c r="A1" s="122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5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5" ht="14.2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5" t="s">
        <v>70</v>
      </c>
      <c r="I4" s="125" t="s">
        <v>9</v>
      </c>
      <c r="J4" s="125"/>
      <c r="K4" s="125" t="s">
        <v>10</v>
      </c>
      <c r="L4" s="125"/>
      <c r="M4" s="112"/>
    </row>
    <row r="5" spans="1:15" ht="55.5" customHeight="1" x14ac:dyDescent="0.25">
      <c r="A5" s="112"/>
      <c r="B5" s="112"/>
      <c r="C5" s="112"/>
      <c r="D5" s="124"/>
      <c r="E5" s="124"/>
      <c r="F5" s="124"/>
      <c r="G5" s="124"/>
      <c r="H5" s="125"/>
      <c r="I5" s="1" t="s">
        <v>38</v>
      </c>
      <c r="J5" s="1" t="s">
        <v>39</v>
      </c>
      <c r="K5" s="1" t="s">
        <v>40</v>
      </c>
      <c r="L5" s="1" t="s">
        <v>41</v>
      </c>
      <c r="M5" s="112"/>
    </row>
    <row r="6" spans="1:15" x14ac:dyDescent="0.25">
      <c r="A6" s="5" t="s">
        <v>16</v>
      </c>
      <c r="B6" s="9" t="s">
        <v>17</v>
      </c>
      <c r="C6" s="9"/>
      <c r="D6" s="10" t="s">
        <v>11</v>
      </c>
      <c r="E6" s="17">
        <v>4</v>
      </c>
      <c r="F6" s="18" t="s">
        <v>43</v>
      </c>
      <c r="G6" s="11" t="s">
        <v>44</v>
      </c>
      <c r="H6" s="74">
        <v>0</v>
      </c>
      <c r="I6" s="74">
        <v>0</v>
      </c>
      <c r="J6" s="84">
        <v>0</v>
      </c>
      <c r="K6" s="84">
        <v>0</v>
      </c>
      <c r="L6" s="84">
        <v>0</v>
      </c>
      <c r="M6" s="74">
        <v>0</v>
      </c>
      <c r="O6" s="14"/>
    </row>
    <row r="7" spans="1:15" ht="14.25" customHeight="1" x14ac:dyDescent="0.25">
      <c r="A7" s="5" t="s">
        <v>18</v>
      </c>
      <c r="B7" s="9" t="s">
        <v>19</v>
      </c>
      <c r="C7" s="9"/>
      <c r="D7" s="10" t="s">
        <v>11</v>
      </c>
      <c r="E7" s="57">
        <v>4</v>
      </c>
      <c r="F7" s="27" t="s">
        <v>43</v>
      </c>
      <c r="G7" s="25" t="s">
        <v>44</v>
      </c>
      <c r="H7" s="68">
        <v>0</v>
      </c>
      <c r="I7" s="68">
        <v>0</v>
      </c>
      <c r="J7" s="69">
        <v>0</v>
      </c>
      <c r="K7" s="69">
        <v>0</v>
      </c>
      <c r="L7" s="69">
        <v>0</v>
      </c>
      <c r="M7" s="68">
        <v>0</v>
      </c>
      <c r="O7" s="14"/>
    </row>
    <row r="8" spans="1:15" ht="14.25" customHeight="1" x14ac:dyDescent="0.25">
      <c r="A8" s="5" t="s">
        <v>45</v>
      </c>
      <c r="B8" s="9" t="s">
        <v>46</v>
      </c>
      <c r="C8" s="9"/>
      <c r="D8" s="10" t="s">
        <v>11</v>
      </c>
      <c r="E8" s="57">
        <v>4</v>
      </c>
      <c r="F8" s="27" t="s">
        <v>43</v>
      </c>
      <c r="G8" s="25" t="s">
        <v>44</v>
      </c>
      <c r="H8" s="68">
        <v>0</v>
      </c>
      <c r="I8" s="68">
        <v>0</v>
      </c>
      <c r="J8" s="69">
        <v>0</v>
      </c>
      <c r="K8" s="69">
        <v>0</v>
      </c>
      <c r="L8" s="69">
        <v>0</v>
      </c>
      <c r="M8" s="68">
        <v>0</v>
      </c>
      <c r="O8" s="14"/>
    </row>
    <row r="9" spans="1:15" x14ac:dyDescent="0.25">
      <c r="A9" s="5" t="s">
        <v>47</v>
      </c>
      <c r="B9" s="9" t="s">
        <v>48</v>
      </c>
      <c r="C9" s="9"/>
      <c r="D9" s="10" t="s">
        <v>13</v>
      </c>
      <c r="E9" s="27" t="s">
        <v>49</v>
      </c>
      <c r="F9" s="27" t="s">
        <v>50</v>
      </c>
      <c r="G9" s="25" t="s">
        <v>51</v>
      </c>
      <c r="H9" s="68">
        <v>0</v>
      </c>
      <c r="I9" s="68">
        <v>0</v>
      </c>
      <c r="J9" s="69">
        <v>0</v>
      </c>
      <c r="K9" s="69">
        <v>0</v>
      </c>
      <c r="L9" s="69">
        <v>0</v>
      </c>
      <c r="M9" s="68">
        <v>0</v>
      </c>
      <c r="O9" s="14"/>
    </row>
    <row r="10" spans="1:15" ht="14.25" customHeight="1" x14ac:dyDescent="0.25">
      <c r="A10" s="126" t="s">
        <v>20</v>
      </c>
      <c r="B10" s="9" t="s">
        <v>21</v>
      </c>
      <c r="C10" s="9"/>
      <c r="D10" s="10" t="s">
        <v>13</v>
      </c>
      <c r="E10" s="27" t="s">
        <v>49</v>
      </c>
      <c r="F10" s="27" t="s">
        <v>50</v>
      </c>
      <c r="G10" s="25" t="s">
        <v>52</v>
      </c>
      <c r="H10" s="68">
        <v>6000</v>
      </c>
      <c r="I10" s="68">
        <f>2250*1000</f>
        <v>2250000</v>
      </c>
      <c r="J10" s="69">
        <f>750*1000</f>
        <v>750000</v>
      </c>
      <c r="K10" s="69">
        <v>0</v>
      </c>
      <c r="L10" s="69">
        <f>3000*1000</f>
        <v>3000000</v>
      </c>
      <c r="M10" s="68">
        <v>0</v>
      </c>
      <c r="O10" s="14"/>
    </row>
    <row r="11" spans="1:15" x14ac:dyDescent="0.25">
      <c r="A11" s="126"/>
      <c r="B11" s="12" t="s">
        <v>23</v>
      </c>
      <c r="C11" s="12"/>
      <c r="D11" s="10" t="s">
        <v>13</v>
      </c>
      <c r="E11" s="27" t="s">
        <v>49</v>
      </c>
      <c r="F11" s="27" t="s">
        <v>50</v>
      </c>
      <c r="G11" s="25" t="s">
        <v>52</v>
      </c>
      <c r="H11" s="68">
        <f>661.34*1000</f>
        <v>661340</v>
      </c>
      <c r="I11" s="68">
        <f>248*1000</f>
        <v>248000</v>
      </c>
      <c r="J11" s="69">
        <f>82.67*1000</f>
        <v>82670</v>
      </c>
      <c r="K11" s="69">
        <v>0</v>
      </c>
      <c r="L11" s="69">
        <f>330.67*1000</f>
        <v>330670</v>
      </c>
      <c r="M11" s="68">
        <v>0</v>
      </c>
      <c r="O11" s="14"/>
    </row>
    <row r="12" spans="1:15" x14ac:dyDescent="0.25">
      <c r="A12" s="126"/>
      <c r="B12" s="12" t="s">
        <v>53</v>
      </c>
      <c r="C12" s="12"/>
      <c r="D12" s="10" t="s">
        <v>13</v>
      </c>
      <c r="E12" s="27" t="s">
        <v>49</v>
      </c>
      <c r="F12" s="27" t="s">
        <v>50</v>
      </c>
      <c r="G12" s="25" t="s">
        <v>52</v>
      </c>
      <c r="H12" s="76">
        <f>4444.44*1000</f>
        <v>4444440</v>
      </c>
      <c r="I12" s="76">
        <f>1500*1000</f>
        <v>1500000</v>
      </c>
      <c r="J12" s="69">
        <f>500*1000</f>
        <v>500000</v>
      </c>
      <c r="K12" s="69">
        <v>0</v>
      </c>
      <c r="L12" s="69">
        <f>2444.44*1000</f>
        <v>2444440</v>
      </c>
      <c r="M12" s="68">
        <v>0</v>
      </c>
      <c r="O12" s="14"/>
    </row>
    <row r="13" spans="1:15" ht="14.25" customHeight="1" x14ac:dyDescent="0.25">
      <c r="A13" s="126" t="s">
        <v>24</v>
      </c>
      <c r="B13" s="12" t="s">
        <v>25</v>
      </c>
      <c r="C13" s="12"/>
      <c r="D13" s="10" t="s">
        <v>22</v>
      </c>
      <c r="E13" s="57">
        <v>2</v>
      </c>
      <c r="F13" s="27" t="s">
        <v>54</v>
      </c>
      <c r="G13" s="25" t="s">
        <v>55</v>
      </c>
      <c r="H13" s="68">
        <v>0</v>
      </c>
      <c r="I13" s="68">
        <v>0</v>
      </c>
      <c r="J13" s="69">
        <v>0</v>
      </c>
      <c r="K13" s="69">
        <v>0</v>
      </c>
      <c r="L13" s="69">
        <v>0</v>
      </c>
      <c r="M13" s="68">
        <v>0</v>
      </c>
      <c r="O13" s="14"/>
    </row>
    <row r="14" spans="1:15" x14ac:dyDescent="0.25">
      <c r="A14" s="126"/>
      <c r="B14" s="12" t="s">
        <v>26</v>
      </c>
      <c r="C14" s="12"/>
      <c r="D14" s="10" t="s">
        <v>11</v>
      </c>
      <c r="E14" s="60">
        <v>4</v>
      </c>
      <c r="F14" s="61" t="s">
        <v>43</v>
      </c>
      <c r="G14" s="25" t="s">
        <v>44</v>
      </c>
      <c r="H14" s="68">
        <v>0</v>
      </c>
      <c r="I14" s="68">
        <v>0</v>
      </c>
      <c r="J14" s="69">
        <v>0</v>
      </c>
      <c r="K14" s="69">
        <v>0</v>
      </c>
      <c r="L14" s="69">
        <v>0</v>
      </c>
      <c r="M14" s="68">
        <v>0</v>
      </c>
      <c r="O14" s="14"/>
    </row>
    <row r="15" spans="1:15" x14ac:dyDescent="0.25">
      <c r="A15" s="126"/>
      <c r="B15" s="12" t="s">
        <v>57</v>
      </c>
      <c r="C15" s="12"/>
      <c r="D15" s="10" t="s">
        <v>22</v>
      </c>
      <c r="E15" s="57">
        <v>2</v>
      </c>
      <c r="F15" s="27" t="s">
        <v>54</v>
      </c>
      <c r="G15" s="25" t="s">
        <v>55</v>
      </c>
      <c r="H15" s="68">
        <v>0</v>
      </c>
      <c r="I15" s="68">
        <v>0</v>
      </c>
      <c r="J15" s="69">
        <v>0</v>
      </c>
      <c r="K15" s="69">
        <v>0</v>
      </c>
      <c r="L15" s="69">
        <v>0</v>
      </c>
      <c r="M15" s="68">
        <v>0</v>
      </c>
      <c r="O15" s="14"/>
    </row>
    <row r="16" spans="1:15" s="35" customFormat="1" ht="14.25" hidden="1" x14ac:dyDescent="0.25">
      <c r="A16" s="126"/>
      <c r="B16" s="30" t="s">
        <v>58</v>
      </c>
      <c r="C16" s="30"/>
      <c r="D16" s="31" t="s">
        <v>22</v>
      </c>
      <c r="E16" s="31">
        <v>2</v>
      </c>
      <c r="F16" s="32" t="s">
        <v>54</v>
      </c>
      <c r="G16" s="32" t="s">
        <v>55</v>
      </c>
      <c r="H16" s="70">
        <v>0</v>
      </c>
      <c r="I16" s="70">
        <v>0</v>
      </c>
      <c r="J16" s="71">
        <v>0</v>
      </c>
      <c r="K16" s="71">
        <v>0</v>
      </c>
      <c r="L16" s="71">
        <v>0</v>
      </c>
      <c r="M16" s="70">
        <v>0</v>
      </c>
      <c r="O16" s="36"/>
    </row>
    <row r="17" spans="1:1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0"/>
      <c r="G17" s="11" t="s">
        <v>60</v>
      </c>
      <c r="H17" s="72">
        <v>0</v>
      </c>
      <c r="I17" s="72">
        <v>0</v>
      </c>
      <c r="J17" s="73">
        <v>0</v>
      </c>
      <c r="K17" s="73">
        <v>0</v>
      </c>
      <c r="L17" s="73">
        <v>0</v>
      </c>
      <c r="M17" s="72">
        <v>0</v>
      </c>
      <c r="O17" s="14"/>
    </row>
    <row r="18" spans="1:15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  <c r="O18" s="14"/>
    </row>
    <row r="20" spans="1:15" x14ac:dyDescent="0.25">
      <c r="A20" s="127" t="s">
        <v>97</v>
      </c>
      <c r="B20" s="127"/>
      <c r="C20" s="127"/>
      <c r="D20" s="127"/>
      <c r="E20" s="127"/>
    </row>
    <row r="21" spans="1:15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</row>
    <row r="22" spans="1:15" ht="14.25" customHeight="1" x14ac:dyDescent="0.25">
      <c r="A22" s="112" t="s">
        <v>30</v>
      </c>
      <c r="B22" s="9" t="s">
        <v>11</v>
      </c>
      <c r="C22" s="74">
        <v>0</v>
      </c>
      <c r="D22" s="74">
        <v>0</v>
      </c>
      <c r="E22" s="74">
        <f t="shared" ref="E22:E29" si="0">C22+D22</f>
        <v>0</v>
      </c>
    </row>
    <row r="23" spans="1:15" x14ac:dyDescent="0.25">
      <c r="A23" s="112"/>
      <c r="B23" s="9" t="s">
        <v>14</v>
      </c>
      <c r="C23" s="74">
        <f>I17</f>
        <v>0</v>
      </c>
      <c r="D23" s="74">
        <v>0</v>
      </c>
      <c r="E23" s="74">
        <f t="shared" si="0"/>
        <v>0</v>
      </c>
    </row>
    <row r="24" spans="1:15" x14ac:dyDescent="0.25">
      <c r="A24" s="112"/>
      <c r="B24" s="4" t="s">
        <v>31</v>
      </c>
      <c r="C24" s="87">
        <v>0</v>
      </c>
      <c r="D24" s="87">
        <f>SUM(D22:D23)</f>
        <v>0</v>
      </c>
      <c r="E24" s="87">
        <f>SUM(E22:E23)</f>
        <v>0</v>
      </c>
    </row>
    <row r="25" spans="1:15" ht="14.25" customHeight="1" x14ac:dyDescent="0.25">
      <c r="A25" s="112" t="s">
        <v>32</v>
      </c>
      <c r="B25" s="9" t="s">
        <v>12</v>
      </c>
      <c r="C25" s="39">
        <f>SUM(I13,I15,I16)</f>
        <v>0</v>
      </c>
      <c r="D25" s="39">
        <f>SUM(J13,J15,J16,K13,K15,K16,L13,L15,L16)</f>
        <v>0</v>
      </c>
      <c r="E25" s="39">
        <f t="shared" si="0"/>
        <v>0</v>
      </c>
    </row>
    <row r="26" spans="1:15" x14ac:dyDescent="0.25">
      <c r="A26" s="112"/>
      <c r="B26" s="4" t="s">
        <v>33</v>
      </c>
      <c r="C26" s="43">
        <f>SUM(C25)</f>
        <v>0</v>
      </c>
      <c r="D26" s="43">
        <f>SUM(D25)</f>
        <v>0</v>
      </c>
      <c r="E26" s="43">
        <f>SUM(E25)</f>
        <v>0</v>
      </c>
    </row>
    <row r="27" spans="1:15" ht="14.25" customHeight="1" x14ac:dyDescent="0.25">
      <c r="A27" s="112" t="s">
        <v>34</v>
      </c>
      <c r="B27" s="13" t="s">
        <v>13</v>
      </c>
      <c r="C27" s="58">
        <f>SUM(I9:I12)</f>
        <v>3998000</v>
      </c>
      <c r="D27" s="58">
        <f>SUM(J9:J12)</f>
        <v>1332670</v>
      </c>
      <c r="E27" s="58">
        <f>C27+D27</f>
        <v>5330670</v>
      </c>
    </row>
    <row r="28" spans="1:15" x14ac:dyDescent="0.25">
      <c r="A28" s="112"/>
      <c r="B28" s="4" t="s">
        <v>35</v>
      </c>
      <c r="C28" s="43">
        <f>SUM(C27)</f>
        <v>3998000</v>
      </c>
      <c r="D28" s="43">
        <f>SUM(D27)</f>
        <v>1332670</v>
      </c>
      <c r="E28" s="39">
        <f t="shared" si="0"/>
        <v>5330670</v>
      </c>
    </row>
    <row r="29" spans="1:15" x14ac:dyDescent="0.25">
      <c r="A29" s="7" t="s">
        <v>36</v>
      </c>
      <c r="B29" s="4" t="s">
        <v>15</v>
      </c>
      <c r="C29" s="105">
        <f>C24+C26+C28</f>
        <v>3998000</v>
      </c>
      <c r="D29" s="105">
        <f>D24+D26+D28</f>
        <v>1332670</v>
      </c>
      <c r="E29" s="107">
        <f t="shared" si="0"/>
        <v>5330670</v>
      </c>
    </row>
    <row r="31" spans="1:15" x14ac:dyDescent="0.25">
      <c r="A31" s="113" t="s">
        <v>73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5" ht="15" customHeight="1" x14ac:dyDescent="0.25">
      <c r="A32" s="114" t="s">
        <v>62</v>
      </c>
      <c r="B32" s="114" t="s">
        <v>63</v>
      </c>
      <c r="C32" s="114" t="s">
        <v>6</v>
      </c>
      <c r="D32" s="114" t="s">
        <v>64</v>
      </c>
      <c r="E32" s="115" t="s">
        <v>90</v>
      </c>
      <c r="F32" s="115"/>
      <c r="G32" s="115"/>
      <c r="H32" s="115"/>
      <c r="I32" s="115"/>
      <c r="J32" s="116" t="s">
        <v>88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ht="14.25" customHeight="1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63.75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0" t="s">
        <v>54</v>
      </c>
      <c r="D36" s="50" t="s">
        <v>55</v>
      </c>
      <c r="E36" s="80">
        <f t="shared" ref="E36:J36" si="1">SUM(H13,H15,H16)</f>
        <v>0</v>
      </c>
      <c r="F36" s="80">
        <f t="shared" si="1"/>
        <v>0</v>
      </c>
      <c r="G36" s="80">
        <f t="shared" si="1"/>
        <v>0</v>
      </c>
      <c r="H36" s="80">
        <f t="shared" si="1"/>
        <v>0</v>
      </c>
      <c r="I36" s="80">
        <f t="shared" si="1"/>
        <v>0</v>
      </c>
      <c r="J36" s="80">
        <f t="shared" si="1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80">
        <f t="shared" ref="E37:J37" si="2">SUM(H10,H11,H12)</f>
        <v>5111780</v>
      </c>
      <c r="F37" s="80">
        <f t="shared" si="2"/>
        <v>3998000</v>
      </c>
      <c r="G37" s="80">
        <f t="shared" si="2"/>
        <v>1332670</v>
      </c>
      <c r="H37" s="80">
        <f t="shared" si="2"/>
        <v>0</v>
      </c>
      <c r="I37" s="80">
        <f t="shared" si="2"/>
        <v>5775110</v>
      </c>
      <c r="J37" s="80">
        <f t="shared" si="2"/>
        <v>0</v>
      </c>
    </row>
    <row r="38" spans="1:10" x14ac:dyDescent="0.25">
      <c r="A38" s="111"/>
      <c r="B38" s="52" t="s">
        <v>49</v>
      </c>
      <c r="C38" s="52" t="s">
        <v>50</v>
      </c>
      <c r="D38" s="52" t="s">
        <v>51</v>
      </c>
      <c r="E38" s="80">
        <f t="shared" ref="E38:J38" si="3">SUM(H9)</f>
        <v>0</v>
      </c>
      <c r="F38" s="80">
        <f t="shared" si="3"/>
        <v>0</v>
      </c>
      <c r="G38" s="80">
        <f t="shared" si="3"/>
        <v>0</v>
      </c>
      <c r="H38" s="80">
        <f t="shared" si="3"/>
        <v>0</v>
      </c>
      <c r="I38" s="80">
        <f t="shared" si="3"/>
        <v>0</v>
      </c>
      <c r="J38" s="80">
        <f t="shared" si="3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80">
        <f t="shared" ref="E39:J39" si="4">SUM(H6,H7,H8,H14)</f>
        <v>0</v>
      </c>
      <c r="F39" s="80">
        <f t="shared" si="4"/>
        <v>0</v>
      </c>
      <c r="G39" s="80">
        <f t="shared" si="4"/>
        <v>0</v>
      </c>
      <c r="H39" s="80">
        <f t="shared" si="4"/>
        <v>0</v>
      </c>
      <c r="I39" s="80">
        <f t="shared" si="4"/>
        <v>0</v>
      </c>
      <c r="J39" s="80">
        <f t="shared" si="4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80">
        <f t="shared" ref="E40:J40" si="5">SUM(H17)</f>
        <v>0</v>
      </c>
      <c r="F40" s="80">
        <f t="shared" si="5"/>
        <v>0</v>
      </c>
      <c r="G40" s="80">
        <f t="shared" si="5"/>
        <v>0</v>
      </c>
      <c r="H40" s="80">
        <f t="shared" si="5"/>
        <v>0</v>
      </c>
      <c r="I40" s="80">
        <f t="shared" si="5"/>
        <v>0</v>
      </c>
      <c r="J40" s="80">
        <f t="shared" si="5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E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40"/>
  <sheetViews>
    <sheetView zoomScaleNormal="100" workbookViewId="0">
      <selection activeCell="J40" sqref="E36:J40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3.7109375" style="8" customWidth="1"/>
    <col min="8" max="9" width="11.85546875" style="8" customWidth="1"/>
    <col min="10" max="10" width="11.42578125" style="8"/>
    <col min="11" max="11" width="13.5703125" style="8" customWidth="1"/>
    <col min="12" max="12" width="11.85546875" style="8" customWidth="1"/>
    <col min="13" max="14" width="9.140625" style="8" customWidth="1"/>
    <col min="15" max="15" width="9.85546875" style="8" customWidth="1"/>
    <col min="16" max="1025" width="9.140625" style="8" customWidth="1"/>
  </cols>
  <sheetData>
    <row r="1" spans="1:15" x14ac:dyDescent="0.25">
      <c r="A1" s="122" t="s">
        <v>74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5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5" ht="14.2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5" t="s">
        <v>70</v>
      </c>
      <c r="I4" s="125" t="s">
        <v>9</v>
      </c>
      <c r="J4" s="125"/>
      <c r="K4" s="125" t="s">
        <v>10</v>
      </c>
      <c r="L4" s="125"/>
      <c r="M4" s="112"/>
    </row>
    <row r="5" spans="1:15" ht="55.5" customHeight="1" x14ac:dyDescent="0.25">
      <c r="A5" s="112"/>
      <c r="B5" s="112"/>
      <c r="C5" s="112"/>
      <c r="D5" s="124"/>
      <c r="E5" s="124"/>
      <c r="F5" s="124"/>
      <c r="G5" s="124"/>
      <c r="H5" s="125"/>
      <c r="I5" s="1" t="s">
        <v>38</v>
      </c>
      <c r="J5" s="1" t="s">
        <v>39</v>
      </c>
      <c r="K5" s="1" t="s">
        <v>40</v>
      </c>
      <c r="L5" s="1" t="s">
        <v>41</v>
      </c>
      <c r="M5" s="112"/>
    </row>
    <row r="6" spans="1:15" x14ac:dyDescent="0.25">
      <c r="A6" s="5" t="s">
        <v>16</v>
      </c>
      <c r="B6" s="9" t="s">
        <v>17</v>
      </c>
      <c r="C6" s="9"/>
      <c r="D6" s="10" t="s">
        <v>11</v>
      </c>
      <c r="E6" s="17">
        <v>4</v>
      </c>
      <c r="F6" s="18" t="s">
        <v>43</v>
      </c>
      <c r="G6" s="11" t="s">
        <v>44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O6" s="14"/>
    </row>
    <row r="7" spans="1:15" ht="14.25" customHeight="1" x14ac:dyDescent="0.25">
      <c r="A7" s="5" t="s">
        <v>18</v>
      </c>
      <c r="B7" s="9" t="s">
        <v>19</v>
      </c>
      <c r="C7" s="9"/>
      <c r="D7" s="10" t="s">
        <v>11</v>
      </c>
      <c r="E7" s="57">
        <v>4</v>
      </c>
      <c r="F7" s="27" t="s">
        <v>43</v>
      </c>
      <c r="G7" s="25" t="s">
        <v>44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O7" s="14"/>
    </row>
    <row r="8" spans="1:15" ht="14.25" customHeight="1" x14ac:dyDescent="0.25">
      <c r="A8" s="5" t="s">
        <v>45</v>
      </c>
      <c r="B8" s="9" t="s">
        <v>46</v>
      </c>
      <c r="C8" s="9"/>
      <c r="D8" s="10" t="s">
        <v>11</v>
      </c>
      <c r="E8" s="57">
        <v>4</v>
      </c>
      <c r="F8" s="27" t="s">
        <v>43</v>
      </c>
      <c r="G8" s="25" t="s">
        <v>44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O8" s="14"/>
    </row>
    <row r="9" spans="1:15" x14ac:dyDescent="0.25">
      <c r="A9" s="5" t="s">
        <v>47</v>
      </c>
      <c r="B9" s="9" t="s">
        <v>48</v>
      </c>
      <c r="C9" s="9"/>
      <c r="D9" s="10" t="s">
        <v>13</v>
      </c>
      <c r="E9" s="27" t="s">
        <v>49</v>
      </c>
      <c r="F9" s="27" t="s">
        <v>50</v>
      </c>
      <c r="G9" s="25" t="s">
        <v>51</v>
      </c>
      <c r="H9" s="68">
        <v>500000</v>
      </c>
      <c r="I9" s="68">
        <v>300000</v>
      </c>
      <c r="J9" s="69">
        <v>100000</v>
      </c>
      <c r="K9" s="69">
        <v>0</v>
      </c>
      <c r="L9" s="69">
        <v>100000</v>
      </c>
      <c r="M9" s="74">
        <v>0</v>
      </c>
      <c r="O9" s="14"/>
    </row>
    <row r="10" spans="1:15" ht="14.25" customHeight="1" x14ac:dyDescent="0.25">
      <c r="A10" s="126" t="s">
        <v>20</v>
      </c>
      <c r="B10" s="9" t="s">
        <v>21</v>
      </c>
      <c r="C10" s="9"/>
      <c r="D10" s="10" t="s">
        <v>13</v>
      </c>
      <c r="E10" s="27" t="s">
        <v>49</v>
      </c>
      <c r="F10" s="27" t="s">
        <v>50</v>
      </c>
      <c r="G10" s="25" t="s">
        <v>52</v>
      </c>
      <c r="H10" s="68">
        <v>6000000</v>
      </c>
      <c r="I10" s="68">
        <v>2250000</v>
      </c>
      <c r="J10" s="69">
        <v>750000</v>
      </c>
      <c r="K10" s="69">
        <v>0</v>
      </c>
      <c r="L10" s="69">
        <v>3000000</v>
      </c>
      <c r="M10" s="74">
        <v>0</v>
      </c>
      <c r="O10" s="14"/>
    </row>
    <row r="11" spans="1:15" x14ac:dyDescent="0.25">
      <c r="A11" s="126"/>
      <c r="B11" s="12" t="s">
        <v>23</v>
      </c>
      <c r="C11" s="12"/>
      <c r="D11" s="10" t="s">
        <v>13</v>
      </c>
      <c r="E11" s="27" t="s">
        <v>49</v>
      </c>
      <c r="F11" s="27" t="s">
        <v>50</v>
      </c>
      <c r="G11" s="25" t="s">
        <v>52</v>
      </c>
      <c r="H11" s="68">
        <f>661.34*1000</f>
        <v>661340</v>
      </c>
      <c r="I11" s="68">
        <f>248*1000</f>
        <v>248000</v>
      </c>
      <c r="J11" s="69">
        <f>82.67*1000</f>
        <v>82670</v>
      </c>
      <c r="K11" s="69">
        <v>0</v>
      </c>
      <c r="L11" s="69">
        <f>330.67*1000</f>
        <v>330670</v>
      </c>
      <c r="M11" s="74">
        <v>0</v>
      </c>
      <c r="O11" s="14"/>
    </row>
    <row r="12" spans="1:15" x14ac:dyDescent="0.25">
      <c r="A12" s="126"/>
      <c r="B12" s="12" t="s">
        <v>53</v>
      </c>
      <c r="C12" s="12"/>
      <c r="D12" s="10" t="s">
        <v>13</v>
      </c>
      <c r="E12" s="27" t="s">
        <v>49</v>
      </c>
      <c r="F12" s="27" t="s">
        <v>50</v>
      </c>
      <c r="G12" s="25" t="s">
        <v>52</v>
      </c>
      <c r="H12" s="76">
        <f>2222.22*1000</f>
        <v>2222220</v>
      </c>
      <c r="I12" s="76">
        <f>750*1000</f>
        <v>750000</v>
      </c>
      <c r="J12" s="69">
        <f>250*1000</f>
        <v>250000</v>
      </c>
      <c r="K12" s="69">
        <v>0</v>
      </c>
      <c r="L12" s="69">
        <f>1222.22*1000</f>
        <v>1222220</v>
      </c>
      <c r="M12" s="74">
        <v>0</v>
      </c>
      <c r="O12" s="14"/>
    </row>
    <row r="13" spans="1:15" ht="14.25" customHeight="1" x14ac:dyDescent="0.25">
      <c r="A13" s="126" t="s">
        <v>24</v>
      </c>
      <c r="B13" s="12" t="s">
        <v>25</v>
      </c>
      <c r="C13" s="12"/>
      <c r="D13" s="10" t="s">
        <v>22</v>
      </c>
      <c r="E13" s="57">
        <v>2</v>
      </c>
      <c r="F13" s="27" t="s">
        <v>54</v>
      </c>
      <c r="G13" s="25" t="s">
        <v>55</v>
      </c>
      <c r="H13" s="68">
        <f>2940*1000</f>
        <v>2940000</v>
      </c>
      <c r="I13" s="68">
        <f>2499*1000</f>
        <v>2499000</v>
      </c>
      <c r="J13" s="69">
        <f>147*1000</f>
        <v>147000</v>
      </c>
      <c r="K13" s="69">
        <f>73.5*1000</f>
        <v>73500</v>
      </c>
      <c r="L13" s="69">
        <f>220.5*1000</f>
        <v>220500</v>
      </c>
      <c r="M13" s="74">
        <v>0</v>
      </c>
      <c r="O13" s="14"/>
    </row>
    <row r="14" spans="1:15" x14ac:dyDescent="0.25">
      <c r="A14" s="126"/>
      <c r="B14" s="12" t="s">
        <v>26</v>
      </c>
      <c r="C14" s="12"/>
      <c r="D14" s="10" t="s">
        <v>11</v>
      </c>
      <c r="E14" s="60">
        <v>4</v>
      </c>
      <c r="F14" s="61" t="s">
        <v>43</v>
      </c>
      <c r="G14" s="25" t="s">
        <v>44</v>
      </c>
      <c r="H14" s="68">
        <v>0</v>
      </c>
      <c r="I14" s="68">
        <v>0</v>
      </c>
      <c r="J14" s="69">
        <v>0</v>
      </c>
      <c r="K14" s="69">
        <v>0</v>
      </c>
      <c r="L14" s="69">
        <v>0</v>
      </c>
      <c r="M14" s="74">
        <v>0</v>
      </c>
      <c r="O14" s="14"/>
    </row>
    <row r="15" spans="1:15" x14ac:dyDescent="0.25">
      <c r="A15" s="126"/>
      <c r="B15" s="12" t="s">
        <v>57</v>
      </c>
      <c r="C15" s="12"/>
      <c r="D15" s="10" t="s">
        <v>22</v>
      </c>
      <c r="E15" s="57">
        <v>2</v>
      </c>
      <c r="F15" s="27" t="s">
        <v>54</v>
      </c>
      <c r="G15" s="25" t="s">
        <v>55</v>
      </c>
      <c r="H15" s="68">
        <v>1000</v>
      </c>
      <c r="I15" s="68">
        <f>850*1000</f>
        <v>850000</v>
      </c>
      <c r="J15" s="69">
        <f>72.31*1000</f>
        <v>72310</v>
      </c>
      <c r="K15" s="69">
        <f>36.15*1000</f>
        <v>36150</v>
      </c>
      <c r="L15" s="69">
        <f>41.54*1000</f>
        <v>41540</v>
      </c>
      <c r="M15" s="74">
        <v>0</v>
      </c>
      <c r="O15" s="14"/>
    </row>
    <row r="16" spans="1:15" s="35" customFormat="1" ht="14.25" hidden="1" x14ac:dyDescent="0.25">
      <c r="A16" s="126"/>
      <c r="B16" s="30" t="s">
        <v>58</v>
      </c>
      <c r="C16" s="30"/>
      <c r="D16" s="31" t="s">
        <v>22</v>
      </c>
      <c r="E16" s="31">
        <v>2</v>
      </c>
      <c r="F16" s="32" t="s">
        <v>54</v>
      </c>
      <c r="G16" s="32" t="s">
        <v>55</v>
      </c>
      <c r="H16" s="70">
        <v>0</v>
      </c>
      <c r="I16" s="70">
        <v>0</v>
      </c>
      <c r="J16" s="71">
        <v>0</v>
      </c>
      <c r="K16" s="71">
        <v>0</v>
      </c>
      <c r="L16" s="71">
        <f>H16*0.15</f>
        <v>0</v>
      </c>
      <c r="M16" s="70">
        <v>0</v>
      </c>
      <c r="O16" s="36"/>
    </row>
    <row r="17" spans="1:1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0"/>
      <c r="G17" s="11" t="s">
        <v>60</v>
      </c>
      <c r="H17" s="66">
        <v>0</v>
      </c>
      <c r="I17" s="66">
        <v>0</v>
      </c>
      <c r="J17" s="75">
        <v>0</v>
      </c>
      <c r="K17" s="75">
        <f>H17*0.15</f>
        <v>0</v>
      </c>
      <c r="L17" s="75">
        <v>0</v>
      </c>
      <c r="M17" s="66">
        <v>0</v>
      </c>
      <c r="O17" s="14"/>
    </row>
    <row r="18" spans="1:15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  <c r="O18" s="14"/>
    </row>
    <row r="20" spans="1:15" x14ac:dyDescent="0.25">
      <c r="A20" s="127" t="s">
        <v>98</v>
      </c>
      <c r="B20" s="127"/>
      <c r="C20" s="127"/>
      <c r="D20" s="127"/>
      <c r="E20" s="127"/>
    </row>
    <row r="21" spans="1:15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</row>
    <row r="22" spans="1:15" ht="14.25" customHeight="1" x14ac:dyDescent="0.25">
      <c r="A22" s="112" t="s">
        <v>30</v>
      </c>
      <c r="B22" s="9" t="s">
        <v>11</v>
      </c>
      <c r="C22" s="74">
        <f>SUM(I6:I8)+I14</f>
        <v>0</v>
      </c>
      <c r="D22" s="74">
        <v>0</v>
      </c>
      <c r="E22" s="74">
        <f t="shared" ref="E22:E27" si="0">C22+D22</f>
        <v>0</v>
      </c>
    </row>
    <row r="23" spans="1:15" x14ac:dyDescent="0.25">
      <c r="A23" s="112"/>
      <c r="B23" s="9" t="s">
        <v>14</v>
      </c>
      <c r="C23" s="74">
        <v>0</v>
      </c>
      <c r="D23" s="74">
        <v>0</v>
      </c>
      <c r="E23" s="74">
        <f t="shared" si="0"/>
        <v>0</v>
      </c>
    </row>
    <row r="24" spans="1:15" x14ac:dyDescent="0.25">
      <c r="A24" s="112"/>
      <c r="B24" s="4" t="s">
        <v>31</v>
      </c>
      <c r="C24" s="87">
        <f>C23+C22</f>
        <v>0</v>
      </c>
      <c r="D24" s="87">
        <f>SUM(D22:D23)</f>
        <v>0</v>
      </c>
      <c r="E24" s="87">
        <f>C24+D24</f>
        <v>0</v>
      </c>
    </row>
    <row r="25" spans="1:15" ht="14.25" customHeight="1" x14ac:dyDescent="0.25">
      <c r="A25" s="112" t="s">
        <v>32</v>
      </c>
      <c r="B25" s="9" t="s">
        <v>12</v>
      </c>
      <c r="C25" s="58">
        <f>I13+I15</f>
        <v>3349000</v>
      </c>
      <c r="D25" s="58">
        <f>J13+J15</f>
        <v>219310</v>
      </c>
      <c r="E25" s="58">
        <f t="shared" si="0"/>
        <v>3568310</v>
      </c>
    </row>
    <row r="26" spans="1:15" x14ac:dyDescent="0.25">
      <c r="A26" s="112"/>
      <c r="B26" s="4" t="s">
        <v>33</v>
      </c>
      <c r="C26" s="43">
        <f>C25</f>
        <v>3349000</v>
      </c>
      <c r="D26" s="43">
        <f t="shared" ref="D26:E26" si="1">D25</f>
        <v>219310</v>
      </c>
      <c r="E26" s="43">
        <f t="shared" si="1"/>
        <v>3568310</v>
      </c>
    </row>
    <row r="27" spans="1:15" ht="14.25" customHeight="1" x14ac:dyDescent="0.25">
      <c r="A27" s="112" t="s">
        <v>34</v>
      </c>
      <c r="B27" s="13" t="s">
        <v>13</v>
      </c>
      <c r="C27" s="58">
        <f>SUM(I9:I12)</f>
        <v>3548000</v>
      </c>
      <c r="D27" s="58">
        <f>SUM(J9:J12)</f>
        <v>1182670</v>
      </c>
      <c r="E27" s="39">
        <f t="shared" si="0"/>
        <v>4730670</v>
      </c>
    </row>
    <row r="28" spans="1:15" x14ac:dyDescent="0.25">
      <c r="A28" s="112"/>
      <c r="B28" s="4" t="s">
        <v>35</v>
      </c>
      <c r="C28" s="43">
        <f>C27</f>
        <v>3548000</v>
      </c>
      <c r="D28" s="43">
        <f t="shared" ref="D28:E28" si="2">D27</f>
        <v>1182670</v>
      </c>
      <c r="E28" s="43">
        <f t="shared" si="2"/>
        <v>4730670</v>
      </c>
    </row>
    <row r="29" spans="1:15" x14ac:dyDescent="0.25">
      <c r="A29" s="7" t="s">
        <v>36</v>
      </c>
      <c r="B29" s="4" t="s">
        <v>15</v>
      </c>
      <c r="C29" s="105">
        <f>C24+C26+C28</f>
        <v>6897000</v>
      </c>
      <c r="D29" s="105">
        <f>D24+D26+D28</f>
        <v>1401980</v>
      </c>
      <c r="E29" s="105">
        <f>C29+D29</f>
        <v>8298980</v>
      </c>
    </row>
    <row r="31" spans="1:15" x14ac:dyDescent="0.25">
      <c r="A31" s="113" t="s">
        <v>75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5" ht="15" customHeight="1" x14ac:dyDescent="0.25">
      <c r="A32" s="114" t="s">
        <v>62</v>
      </c>
      <c r="B32" s="114" t="s">
        <v>5</v>
      </c>
      <c r="C32" s="114" t="s">
        <v>6</v>
      </c>
      <c r="D32" s="114" t="s">
        <v>64</v>
      </c>
      <c r="E32" s="115" t="s">
        <v>87</v>
      </c>
      <c r="F32" s="115"/>
      <c r="G32" s="115"/>
      <c r="H32" s="115"/>
      <c r="I32" s="115"/>
      <c r="J32" s="116" t="s">
        <v>88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ht="14.25" customHeight="1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63.75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0" t="s">
        <v>54</v>
      </c>
      <c r="D36" s="50" t="s">
        <v>55</v>
      </c>
      <c r="E36" s="80">
        <f t="shared" ref="E36:J36" si="3">SUM(H13,H15,H16)</f>
        <v>2941000</v>
      </c>
      <c r="F36" s="80">
        <f t="shared" si="3"/>
        <v>3349000</v>
      </c>
      <c r="G36" s="80">
        <f t="shared" si="3"/>
        <v>219310</v>
      </c>
      <c r="H36" s="80">
        <f t="shared" si="3"/>
        <v>109650</v>
      </c>
      <c r="I36" s="80">
        <f t="shared" si="3"/>
        <v>262040</v>
      </c>
      <c r="J36" s="80">
        <f t="shared" si="3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80">
        <f t="shared" ref="E37:J37" si="4">SUM(H10,H11,H12)</f>
        <v>8883560</v>
      </c>
      <c r="F37" s="80">
        <f t="shared" si="4"/>
        <v>3248000</v>
      </c>
      <c r="G37" s="80">
        <f t="shared" si="4"/>
        <v>1082670</v>
      </c>
      <c r="H37" s="80">
        <f t="shared" si="4"/>
        <v>0</v>
      </c>
      <c r="I37" s="80">
        <f t="shared" si="4"/>
        <v>4552890</v>
      </c>
      <c r="J37" s="80">
        <f t="shared" si="4"/>
        <v>0</v>
      </c>
    </row>
    <row r="38" spans="1:10" x14ac:dyDescent="0.25">
      <c r="A38" s="111"/>
      <c r="B38" s="52" t="s">
        <v>49</v>
      </c>
      <c r="C38" s="52" t="s">
        <v>50</v>
      </c>
      <c r="D38" s="52" t="s">
        <v>51</v>
      </c>
      <c r="E38" s="80">
        <f t="shared" ref="E38:J38" si="5">SUM(H9)</f>
        <v>500000</v>
      </c>
      <c r="F38" s="80">
        <f t="shared" si="5"/>
        <v>300000</v>
      </c>
      <c r="G38" s="80">
        <f t="shared" si="5"/>
        <v>100000</v>
      </c>
      <c r="H38" s="80">
        <f t="shared" si="5"/>
        <v>0</v>
      </c>
      <c r="I38" s="80">
        <f t="shared" si="5"/>
        <v>100000</v>
      </c>
      <c r="J38" s="80">
        <f t="shared" si="5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80">
        <f t="shared" ref="E39:J39" si="6">SUM(H6,H7,H8,H14)</f>
        <v>0</v>
      </c>
      <c r="F39" s="80">
        <f t="shared" si="6"/>
        <v>0</v>
      </c>
      <c r="G39" s="80">
        <f t="shared" si="6"/>
        <v>0</v>
      </c>
      <c r="H39" s="80">
        <f t="shared" si="6"/>
        <v>0</v>
      </c>
      <c r="I39" s="80">
        <f t="shared" si="6"/>
        <v>0</v>
      </c>
      <c r="J39" s="80">
        <f t="shared" si="6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80">
        <f t="shared" ref="E40:J40" si="7">SUM(H17)</f>
        <v>0</v>
      </c>
      <c r="F40" s="80">
        <f t="shared" si="7"/>
        <v>0</v>
      </c>
      <c r="G40" s="80">
        <f t="shared" si="7"/>
        <v>0</v>
      </c>
      <c r="H40" s="80">
        <f t="shared" si="7"/>
        <v>0</v>
      </c>
      <c r="I40" s="80">
        <f t="shared" si="7"/>
        <v>0</v>
      </c>
      <c r="J40" s="80">
        <f t="shared" si="7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E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40"/>
  <sheetViews>
    <sheetView zoomScaleNormal="100" workbookViewId="0">
      <selection activeCell="I7" sqref="I7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0.7109375" style="8" customWidth="1"/>
    <col min="8" max="8" width="12.85546875" style="8" customWidth="1"/>
    <col min="9" max="9" width="12.42578125" style="8" customWidth="1"/>
    <col min="10" max="10" width="11.42578125" style="8"/>
    <col min="11" max="11" width="13.5703125" style="8" customWidth="1"/>
    <col min="12" max="12" width="11.85546875" style="8" customWidth="1"/>
    <col min="13" max="14" width="9.140625" style="8" customWidth="1"/>
    <col min="15" max="15" width="9.85546875" style="8" customWidth="1"/>
    <col min="16" max="1025" width="9.140625" style="8" customWidth="1"/>
  </cols>
  <sheetData>
    <row r="1" spans="1:15" x14ac:dyDescent="0.25">
      <c r="A1" s="122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5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5" ht="14.2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5" t="s">
        <v>70</v>
      </c>
      <c r="I4" s="125" t="s">
        <v>9</v>
      </c>
      <c r="J4" s="125"/>
      <c r="K4" s="125" t="s">
        <v>10</v>
      </c>
      <c r="L4" s="125"/>
      <c r="M4" s="112"/>
    </row>
    <row r="5" spans="1:15" ht="55.5" customHeight="1" x14ac:dyDescent="0.25">
      <c r="A5" s="112"/>
      <c r="B5" s="112"/>
      <c r="C5" s="112"/>
      <c r="D5" s="124"/>
      <c r="E5" s="124"/>
      <c r="F5" s="124"/>
      <c r="G5" s="124"/>
      <c r="H5" s="125"/>
      <c r="I5" s="1" t="s">
        <v>38</v>
      </c>
      <c r="J5" s="1" t="s">
        <v>39</v>
      </c>
      <c r="K5" s="1" t="s">
        <v>40</v>
      </c>
      <c r="L5" s="1" t="s">
        <v>41</v>
      </c>
      <c r="M5" s="112"/>
    </row>
    <row r="6" spans="1:15" x14ac:dyDescent="0.25">
      <c r="A6" s="5" t="s">
        <v>16</v>
      </c>
      <c r="B6" s="9" t="s">
        <v>17</v>
      </c>
      <c r="C6" s="9"/>
      <c r="D6" s="10" t="s">
        <v>11</v>
      </c>
      <c r="E6" s="17">
        <v>4</v>
      </c>
      <c r="F6" s="18" t="s">
        <v>43</v>
      </c>
      <c r="G6" s="11" t="s">
        <v>44</v>
      </c>
      <c r="H6" s="74">
        <v>14501885.680000002</v>
      </c>
      <c r="I6" s="74">
        <v>13776791.380000001</v>
      </c>
      <c r="J6" s="84">
        <v>0</v>
      </c>
      <c r="K6" s="84">
        <v>725094.3</v>
      </c>
      <c r="L6" s="84">
        <v>0</v>
      </c>
      <c r="M6" s="74">
        <v>0</v>
      </c>
      <c r="O6" s="14"/>
    </row>
    <row r="7" spans="1:15" ht="14.25" customHeight="1" x14ac:dyDescent="0.25">
      <c r="A7" s="5" t="s">
        <v>18</v>
      </c>
      <c r="B7" s="9" t="s">
        <v>19</v>
      </c>
      <c r="C7" s="9"/>
      <c r="D7" s="10" t="s">
        <v>11</v>
      </c>
      <c r="E7" s="23">
        <v>4</v>
      </c>
      <c r="F7" s="24" t="s">
        <v>43</v>
      </c>
      <c r="G7" s="11" t="s">
        <v>44</v>
      </c>
      <c r="H7" s="90">
        <f>SUM(I7:K7)</f>
        <v>12052070.41</v>
      </c>
      <c r="I7" s="90">
        <f>12099960-650493.11</f>
        <v>11449466.890000001</v>
      </c>
      <c r="J7" s="91">
        <v>0</v>
      </c>
      <c r="K7" s="91">
        <f>636840-34236.48</f>
        <v>602603.52000000002</v>
      </c>
      <c r="L7" s="84">
        <v>0</v>
      </c>
      <c r="M7" s="74">
        <v>0</v>
      </c>
      <c r="O7" s="14"/>
    </row>
    <row r="8" spans="1:15" ht="14.25" customHeight="1" x14ac:dyDescent="0.25">
      <c r="A8" s="5" t="s">
        <v>45</v>
      </c>
      <c r="B8" s="9" t="s">
        <v>46</v>
      </c>
      <c r="C8" s="9"/>
      <c r="D8" s="10" t="s">
        <v>11</v>
      </c>
      <c r="E8" s="57">
        <v>4</v>
      </c>
      <c r="F8" s="27" t="s">
        <v>43</v>
      </c>
      <c r="G8" s="25" t="s">
        <v>44</v>
      </c>
      <c r="H8" s="68">
        <v>0</v>
      </c>
      <c r="I8" s="68">
        <v>0</v>
      </c>
      <c r="J8" s="69">
        <v>0</v>
      </c>
      <c r="K8" s="69">
        <v>0</v>
      </c>
      <c r="L8" s="69">
        <v>0</v>
      </c>
      <c r="M8" s="74">
        <v>0</v>
      </c>
      <c r="O8" s="14"/>
    </row>
    <row r="9" spans="1:15" x14ac:dyDescent="0.25">
      <c r="A9" s="5" t="s">
        <v>47</v>
      </c>
      <c r="B9" s="9" t="s">
        <v>48</v>
      </c>
      <c r="C9" s="9"/>
      <c r="D9" s="10" t="s">
        <v>13</v>
      </c>
      <c r="E9" s="27" t="s">
        <v>49</v>
      </c>
      <c r="F9" s="27" t="s">
        <v>50</v>
      </c>
      <c r="G9" s="25" t="s">
        <v>51</v>
      </c>
      <c r="H9" s="68">
        <v>0</v>
      </c>
      <c r="I9" s="68">
        <v>0</v>
      </c>
      <c r="J9" s="69">
        <v>0</v>
      </c>
      <c r="K9" s="69">
        <v>0</v>
      </c>
      <c r="L9" s="69">
        <v>0</v>
      </c>
      <c r="M9" s="74">
        <v>0</v>
      </c>
      <c r="O9" s="14"/>
    </row>
    <row r="10" spans="1:15" ht="14.25" customHeight="1" x14ac:dyDescent="0.25">
      <c r="A10" s="126" t="s">
        <v>20</v>
      </c>
      <c r="B10" s="9" t="s">
        <v>21</v>
      </c>
      <c r="C10" s="9"/>
      <c r="D10" s="10" t="s">
        <v>13</v>
      </c>
      <c r="E10" s="27" t="s">
        <v>49</v>
      </c>
      <c r="F10" s="27" t="s">
        <v>50</v>
      </c>
      <c r="G10" s="25" t="s">
        <v>52</v>
      </c>
      <c r="H10" s="68">
        <f>4000*1000</f>
        <v>4000000</v>
      </c>
      <c r="I10" s="68">
        <f>1500*1000</f>
        <v>1500000</v>
      </c>
      <c r="J10" s="69">
        <f>500*1000</f>
        <v>500000</v>
      </c>
      <c r="K10" s="69">
        <v>0</v>
      </c>
      <c r="L10" s="69">
        <f>2000*1000</f>
        <v>2000000</v>
      </c>
      <c r="M10" s="74">
        <v>0</v>
      </c>
      <c r="O10" s="14"/>
    </row>
    <row r="11" spans="1:15" x14ac:dyDescent="0.25">
      <c r="A11" s="126"/>
      <c r="B11" s="12" t="s">
        <v>23</v>
      </c>
      <c r="C11" s="12"/>
      <c r="D11" s="10" t="s">
        <v>13</v>
      </c>
      <c r="E11" s="27" t="s">
        <v>49</v>
      </c>
      <c r="F11" s="27" t="s">
        <v>50</v>
      </c>
      <c r="G11" s="25" t="s">
        <v>52</v>
      </c>
      <c r="H11" s="68">
        <v>0</v>
      </c>
      <c r="I11" s="68">
        <v>0</v>
      </c>
      <c r="J11" s="69">
        <v>0</v>
      </c>
      <c r="K11" s="69">
        <v>0</v>
      </c>
      <c r="L11" s="69">
        <v>0</v>
      </c>
      <c r="M11" s="74">
        <v>0</v>
      </c>
      <c r="O11" s="14"/>
    </row>
    <row r="12" spans="1:15" x14ac:dyDescent="0.25">
      <c r="A12" s="126"/>
      <c r="B12" s="12" t="s">
        <v>53</v>
      </c>
      <c r="C12" s="12"/>
      <c r="D12" s="10" t="s">
        <v>13</v>
      </c>
      <c r="E12" s="27" t="s">
        <v>49</v>
      </c>
      <c r="F12" s="27" t="s">
        <v>50</v>
      </c>
      <c r="G12" s="25" t="s">
        <v>52</v>
      </c>
      <c r="H12" s="76">
        <f>2222.22*1000</f>
        <v>2222220</v>
      </c>
      <c r="I12" s="76">
        <f>750*1000</f>
        <v>750000</v>
      </c>
      <c r="J12" s="69">
        <f>250*1000</f>
        <v>250000</v>
      </c>
      <c r="K12" s="69">
        <v>0</v>
      </c>
      <c r="L12" s="69">
        <f>1222.22*1000</f>
        <v>1222220</v>
      </c>
      <c r="M12" s="74">
        <v>0</v>
      </c>
      <c r="O12" s="14"/>
    </row>
    <row r="13" spans="1:15" ht="14.25" customHeight="1" x14ac:dyDescent="0.25">
      <c r="A13" s="126" t="s">
        <v>24</v>
      </c>
      <c r="B13" s="12" t="s">
        <v>25</v>
      </c>
      <c r="C13" s="12"/>
      <c r="D13" s="10" t="s">
        <v>22</v>
      </c>
      <c r="E13" s="57">
        <v>2</v>
      </c>
      <c r="F13" s="27" t="s">
        <v>54</v>
      </c>
      <c r="G13" s="25" t="s">
        <v>55</v>
      </c>
      <c r="H13" s="66">
        <f>6929.09*1000</f>
        <v>6929090</v>
      </c>
      <c r="I13" s="66">
        <f>5889.73*1000</f>
        <v>5889730</v>
      </c>
      <c r="J13" s="75">
        <f>491.36*1000</f>
        <v>491360</v>
      </c>
      <c r="K13" s="75">
        <f>177.5*1000</f>
        <v>177500</v>
      </c>
      <c r="L13" s="75">
        <f>370.5*1000</f>
        <v>370500</v>
      </c>
      <c r="M13" s="74">
        <v>0</v>
      </c>
      <c r="O13" s="14"/>
    </row>
    <row r="14" spans="1:15" x14ac:dyDescent="0.25">
      <c r="A14" s="126"/>
      <c r="B14" s="12" t="s">
        <v>26</v>
      </c>
      <c r="C14" s="12"/>
      <c r="D14" s="10" t="s">
        <v>11</v>
      </c>
      <c r="E14" s="60">
        <v>4</v>
      </c>
      <c r="F14" s="61" t="s">
        <v>43</v>
      </c>
      <c r="G14" s="25" t="s">
        <v>44</v>
      </c>
      <c r="H14" s="68">
        <v>0</v>
      </c>
      <c r="I14" s="68">
        <v>0</v>
      </c>
      <c r="J14" s="69">
        <v>0</v>
      </c>
      <c r="K14" s="69">
        <v>0</v>
      </c>
      <c r="L14" s="69">
        <v>0</v>
      </c>
      <c r="M14" s="74">
        <v>0</v>
      </c>
      <c r="O14" s="14"/>
    </row>
    <row r="15" spans="1:15" x14ac:dyDescent="0.25">
      <c r="A15" s="126"/>
      <c r="B15" s="12" t="s">
        <v>57</v>
      </c>
      <c r="C15" s="12"/>
      <c r="D15" s="10" t="s">
        <v>22</v>
      </c>
      <c r="E15" s="57">
        <v>2</v>
      </c>
      <c r="F15" s="27" t="s">
        <v>54</v>
      </c>
      <c r="G15" s="25" t="s">
        <v>55</v>
      </c>
      <c r="H15" s="68">
        <f>1000*1000</f>
        <v>1000000</v>
      </c>
      <c r="I15" s="68">
        <f>850*1000</f>
        <v>850000</v>
      </c>
      <c r="J15" s="69">
        <f>72.31*1000</f>
        <v>72310</v>
      </c>
      <c r="K15" s="69">
        <f>36.15*1000</f>
        <v>36150</v>
      </c>
      <c r="L15" s="69">
        <f>41.54*1000</f>
        <v>41540</v>
      </c>
      <c r="M15" s="74">
        <v>0</v>
      </c>
      <c r="O15" s="14"/>
    </row>
    <row r="16" spans="1:15" s="35" customFormat="1" ht="14.25" hidden="1" x14ac:dyDescent="0.25">
      <c r="A16" s="126"/>
      <c r="B16" s="30"/>
      <c r="C16" s="30"/>
      <c r="D16" s="31"/>
      <c r="E16" s="31"/>
      <c r="F16" s="32"/>
      <c r="G16" s="32"/>
      <c r="H16" s="70"/>
      <c r="I16" s="70"/>
      <c r="J16" s="71"/>
      <c r="K16" s="71"/>
      <c r="L16" s="71"/>
      <c r="M16" s="70"/>
      <c r="O16" s="36"/>
    </row>
    <row r="17" spans="1:1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0"/>
      <c r="G17" s="11" t="s">
        <v>60</v>
      </c>
      <c r="H17" s="77">
        <f>2352.95*1000</f>
        <v>2352950</v>
      </c>
      <c r="I17" s="66">
        <f>2000*1000</f>
        <v>2000000</v>
      </c>
      <c r="J17" s="75">
        <v>0</v>
      </c>
      <c r="K17" s="78">
        <f>352.95*1000</f>
        <v>352950</v>
      </c>
      <c r="L17" s="75">
        <v>0</v>
      </c>
      <c r="M17" s="66">
        <v>0</v>
      </c>
      <c r="O17" s="14"/>
    </row>
    <row r="18" spans="1:15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  <c r="O18" s="14"/>
    </row>
    <row r="20" spans="1:15" x14ac:dyDescent="0.25">
      <c r="A20" s="127" t="s">
        <v>99</v>
      </c>
      <c r="B20" s="127"/>
      <c r="C20" s="127"/>
      <c r="D20" s="127"/>
      <c r="E20" s="127"/>
    </row>
    <row r="21" spans="1:15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</row>
    <row r="22" spans="1:15" ht="14.25" customHeight="1" x14ac:dyDescent="0.25">
      <c r="A22" s="112" t="s">
        <v>30</v>
      </c>
      <c r="B22" s="9" t="s">
        <v>11</v>
      </c>
      <c r="C22" s="90">
        <f>SUM(I6:I8)</f>
        <v>25226258.270000003</v>
      </c>
      <c r="D22" s="90">
        <v>0</v>
      </c>
      <c r="E22" s="90">
        <f t="shared" ref="E22:E29" si="0">C22+D22</f>
        <v>25226258.270000003</v>
      </c>
    </row>
    <row r="23" spans="1:15" x14ac:dyDescent="0.25">
      <c r="A23" s="112"/>
      <c r="B23" s="9" t="s">
        <v>14</v>
      </c>
      <c r="C23" s="74">
        <f>SUM((I17))</f>
        <v>2000000</v>
      </c>
      <c r="D23" s="74">
        <v>0</v>
      </c>
      <c r="E23" s="74">
        <f t="shared" si="0"/>
        <v>2000000</v>
      </c>
    </row>
    <row r="24" spans="1:15" x14ac:dyDescent="0.25">
      <c r="A24" s="112"/>
      <c r="B24" s="4" t="s">
        <v>31</v>
      </c>
      <c r="C24" s="94">
        <f>SUM(C22:C23)</f>
        <v>27226258.270000003</v>
      </c>
      <c r="D24" s="94">
        <f>SUM(D22:D23)</f>
        <v>0</v>
      </c>
      <c r="E24" s="94">
        <f t="shared" si="0"/>
        <v>27226258.270000003</v>
      </c>
    </row>
    <row r="25" spans="1:15" ht="14.25" customHeight="1" x14ac:dyDescent="0.25">
      <c r="A25" s="112" t="s">
        <v>32</v>
      </c>
      <c r="B25" s="79" t="s">
        <v>12</v>
      </c>
      <c r="C25" s="66">
        <f>SUM(I13+I15)</f>
        <v>6739730</v>
      </c>
      <c r="D25" s="66">
        <f>J13+J15</f>
        <v>563670</v>
      </c>
      <c r="E25" s="66">
        <f t="shared" si="0"/>
        <v>7303400</v>
      </c>
    </row>
    <row r="26" spans="1:15" x14ac:dyDescent="0.25">
      <c r="A26" s="112"/>
      <c r="B26" s="88" t="s">
        <v>33</v>
      </c>
      <c r="C26" s="86">
        <f>C25</f>
        <v>6739730</v>
      </c>
      <c r="D26" s="86">
        <f t="shared" ref="D26:E26" si="1">D25</f>
        <v>563670</v>
      </c>
      <c r="E26" s="86">
        <f t="shared" si="1"/>
        <v>7303400</v>
      </c>
    </row>
    <row r="27" spans="1:15" ht="14.25" customHeight="1" x14ac:dyDescent="0.25">
      <c r="A27" s="112" t="s">
        <v>34</v>
      </c>
      <c r="B27" s="13" t="s">
        <v>13</v>
      </c>
      <c r="C27" s="58">
        <f>SUM(I9:I12)</f>
        <v>2250000</v>
      </c>
      <c r="D27" s="39">
        <f>SUM(J9:J12)</f>
        <v>750000</v>
      </c>
      <c r="E27" s="39">
        <f t="shared" si="0"/>
        <v>3000000</v>
      </c>
    </row>
    <row r="28" spans="1:15" x14ac:dyDescent="0.25">
      <c r="A28" s="112"/>
      <c r="B28" s="4" t="s">
        <v>35</v>
      </c>
      <c r="C28" s="43">
        <f>C27</f>
        <v>2250000</v>
      </c>
      <c r="D28" s="43">
        <f t="shared" ref="D28:E28" si="2">D27</f>
        <v>750000</v>
      </c>
      <c r="E28" s="43">
        <f t="shared" si="2"/>
        <v>3000000</v>
      </c>
    </row>
    <row r="29" spans="1:15" x14ac:dyDescent="0.25">
      <c r="A29" s="7" t="s">
        <v>36</v>
      </c>
      <c r="B29" s="88" t="s">
        <v>15</v>
      </c>
      <c r="C29" s="104">
        <f>C24+C26+C28</f>
        <v>36215988.270000003</v>
      </c>
      <c r="D29" s="104">
        <f>D24+D26+D28</f>
        <v>1313670</v>
      </c>
      <c r="E29" s="104">
        <f t="shared" si="0"/>
        <v>37529658.270000003</v>
      </c>
    </row>
    <row r="31" spans="1:15" x14ac:dyDescent="0.25">
      <c r="A31" s="113" t="s">
        <v>77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5" ht="15" customHeight="1" x14ac:dyDescent="0.25">
      <c r="A32" s="114" t="s">
        <v>62</v>
      </c>
      <c r="B32" s="114" t="s">
        <v>5</v>
      </c>
      <c r="C32" s="114" t="s">
        <v>6</v>
      </c>
      <c r="D32" s="114" t="s">
        <v>64</v>
      </c>
      <c r="E32" s="115" t="s">
        <v>90</v>
      </c>
      <c r="F32" s="115"/>
      <c r="G32" s="115"/>
      <c r="H32" s="115"/>
      <c r="I32" s="115"/>
      <c r="J32" s="116" t="s">
        <v>88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ht="14.25" customHeight="1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51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0" t="s">
        <v>54</v>
      </c>
      <c r="D36" s="50" t="s">
        <v>55</v>
      </c>
      <c r="E36" s="67">
        <f t="shared" ref="E36:J36" si="3">SUM(H13,H15,H16)</f>
        <v>7929090</v>
      </c>
      <c r="F36" s="67">
        <f t="shared" si="3"/>
        <v>6739730</v>
      </c>
      <c r="G36" s="67">
        <f t="shared" si="3"/>
        <v>563670</v>
      </c>
      <c r="H36" s="67">
        <f t="shared" si="3"/>
        <v>213650</v>
      </c>
      <c r="I36" s="67">
        <f t="shared" si="3"/>
        <v>412040</v>
      </c>
      <c r="J36" s="80">
        <f t="shared" si="3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80">
        <f t="shared" ref="E37:J37" si="4">SUM(H10,H11,H12)</f>
        <v>6222220</v>
      </c>
      <c r="F37" s="80">
        <f t="shared" si="4"/>
        <v>2250000</v>
      </c>
      <c r="G37" s="80">
        <f t="shared" si="4"/>
        <v>750000</v>
      </c>
      <c r="H37" s="80">
        <f t="shared" si="4"/>
        <v>0</v>
      </c>
      <c r="I37" s="80">
        <f t="shared" si="4"/>
        <v>3222220</v>
      </c>
      <c r="J37" s="80">
        <f t="shared" si="4"/>
        <v>0</v>
      </c>
    </row>
    <row r="38" spans="1:10" x14ac:dyDescent="0.25">
      <c r="A38" s="111"/>
      <c r="B38" s="52" t="s">
        <v>49</v>
      </c>
      <c r="C38" s="52" t="s">
        <v>50</v>
      </c>
      <c r="D38" s="52" t="s">
        <v>51</v>
      </c>
      <c r="E38" s="80">
        <f t="shared" ref="E38:J38" si="5">SUM(H9)</f>
        <v>0</v>
      </c>
      <c r="F38" s="80">
        <f t="shared" si="5"/>
        <v>0</v>
      </c>
      <c r="G38" s="80">
        <f t="shared" si="5"/>
        <v>0</v>
      </c>
      <c r="H38" s="80">
        <f t="shared" si="5"/>
        <v>0</v>
      </c>
      <c r="I38" s="80">
        <f t="shared" si="5"/>
        <v>0</v>
      </c>
      <c r="J38" s="80">
        <f t="shared" si="5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97">
        <f t="shared" ref="E39:J39" si="6">SUM(H6,H7,H8,H14)</f>
        <v>26553956.090000004</v>
      </c>
      <c r="F39" s="97">
        <f t="shared" si="6"/>
        <v>25226258.270000003</v>
      </c>
      <c r="G39" s="97">
        <f t="shared" si="6"/>
        <v>0</v>
      </c>
      <c r="H39" s="97">
        <f t="shared" si="6"/>
        <v>1327697.82</v>
      </c>
      <c r="I39" s="97">
        <f t="shared" si="6"/>
        <v>0</v>
      </c>
      <c r="J39" s="80">
        <f t="shared" si="6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80">
        <f t="shared" ref="E40:J40" si="7">SUM(H17)</f>
        <v>2352950</v>
      </c>
      <c r="F40" s="80">
        <f t="shared" si="7"/>
        <v>2000000</v>
      </c>
      <c r="G40" s="80">
        <f t="shared" si="7"/>
        <v>0</v>
      </c>
      <c r="H40" s="80">
        <f t="shared" si="7"/>
        <v>352950</v>
      </c>
      <c r="I40" s="80">
        <f t="shared" si="7"/>
        <v>0</v>
      </c>
      <c r="J40" s="80">
        <f t="shared" si="7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E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40"/>
  <sheetViews>
    <sheetView zoomScaleNormal="100" workbookViewId="0">
      <selection activeCell="B32" sqref="B32:B35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2.28515625" style="8" customWidth="1"/>
    <col min="8" max="8" width="12.7109375" style="8" customWidth="1"/>
    <col min="9" max="9" width="13" style="8" customWidth="1"/>
    <col min="10" max="10" width="11.42578125" style="8"/>
    <col min="11" max="11" width="13.5703125" style="8" customWidth="1"/>
    <col min="12" max="12" width="11.85546875" style="8" customWidth="1"/>
    <col min="13" max="14" width="9.140625" style="8" customWidth="1"/>
    <col min="15" max="15" width="9.85546875" style="8" customWidth="1"/>
    <col min="16" max="1025" width="9.140625" style="8" customWidth="1"/>
  </cols>
  <sheetData>
    <row r="1" spans="1:15" x14ac:dyDescent="0.25">
      <c r="A1" s="122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5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5" ht="14.2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5" t="s">
        <v>70</v>
      </c>
      <c r="I4" s="125" t="s">
        <v>9</v>
      </c>
      <c r="J4" s="125"/>
      <c r="K4" s="125" t="s">
        <v>10</v>
      </c>
      <c r="L4" s="125"/>
      <c r="M4" s="112"/>
    </row>
    <row r="5" spans="1:15" ht="55.5" customHeight="1" x14ac:dyDescent="0.25">
      <c r="A5" s="112"/>
      <c r="B5" s="112"/>
      <c r="C5" s="112"/>
      <c r="D5" s="124"/>
      <c r="E5" s="124"/>
      <c r="F5" s="124"/>
      <c r="G5" s="124"/>
      <c r="H5" s="125"/>
      <c r="I5" s="1" t="s">
        <v>38</v>
      </c>
      <c r="J5" s="1" t="s">
        <v>39</v>
      </c>
      <c r="K5" s="1" t="s">
        <v>40</v>
      </c>
      <c r="L5" s="1" t="s">
        <v>41</v>
      </c>
      <c r="M5" s="112"/>
    </row>
    <row r="6" spans="1:15" x14ac:dyDescent="0.25">
      <c r="A6" s="5" t="s">
        <v>16</v>
      </c>
      <c r="B6" s="9" t="s">
        <v>17</v>
      </c>
      <c r="C6" s="9"/>
      <c r="D6" s="10" t="s">
        <v>11</v>
      </c>
      <c r="E6" s="17">
        <v>4</v>
      </c>
      <c r="F6" s="18" t="s">
        <v>43</v>
      </c>
      <c r="G6" s="11" t="s">
        <v>44</v>
      </c>
      <c r="H6" s="92">
        <f>SUM(I6:K6)</f>
        <v>7842624.3300000001</v>
      </c>
      <c r="I6" s="92">
        <f>6800000+650493.11</f>
        <v>7450493.1100000003</v>
      </c>
      <c r="J6" s="93">
        <v>0</v>
      </c>
      <c r="K6" s="93">
        <f>357894.74+34236.48</f>
        <v>392131.22</v>
      </c>
      <c r="L6" s="84">
        <v>0</v>
      </c>
      <c r="M6" s="39">
        <v>0</v>
      </c>
      <c r="O6" s="14"/>
    </row>
    <row r="7" spans="1:15" ht="14.25" customHeight="1" x14ac:dyDescent="0.25">
      <c r="A7" s="5" t="s">
        <v>18</v>
      </c>
      <c r="B7" s="9" t="s">
        <v>19</v>
      </c>
      <c r="C7" s="9"/>
      <c r="D7" s="10" t="s">
        <v>11</v>
      </c>
      <c r="E7" s="23">
        <v>4</v>
      </c>
      <c r="F7" s="24" t="s">
        <v>43</v>
      </c>
      <c r="G7" s="11" t="s">
        <v>44</v>
      </c>
      <c r="H7" s="68">
        <f>SUM(I7:L7)</f>
        <v>4245000</v>
      </c>
      <c r="I7" s="68">
        <f>4032750</f>
        <v>4032750</v>
      </c>
      <c r="J7" s="69">
        <v>0</v>
      </c>
      <c r="K7" s="69">
        <f>212250</f>
        <v>212250</v>
      </c>
      <c r="L7" s="84">
        <v>0</v>
      </c>
      <c r="M7" s="39">
        <v>0</v>
      </c>
      <c r="O7" s="14"/>
    </row>
    <row r="8" spans="1:15" ht="14.25" customHeight="1" x14ac:dyDescent="0.25">
      <c r="A8" s="5" t="s">
        <v>45</v>
      </c>
      <c r="B8" s="9" t="s">
        <v>46</v>
      </c>
      <c r="C8" s="9"/>
      <c r="D8" s="10" t="s">
        <v>11</v>
      </c>
      <c r="E8" s="57">
        <v>4</v>
      </c>
      <c r="F8" s="27" t="s">
        <v>43</v>
      </c>
      <c r="G8" s="25" t="s">
        <v>44</v>
      </c>
      <c r="H8" s="68">
        <v>1309200</v>
      </c>
      <c r="I8" s="68">
        <v>1243740</v>
      </c>
      <c r="J8" s="69">
        <v>0</v>
      </c>
      <c r="K8" s="69">
        <v>0</v>
      </c>
      <c r="L8" s="69">
        <v>65460</v>
      </c>
      <c r="M8" s="39">
        <v>0</v>
      </c>
      <c r="O8" s="14"/>
    </row>
    <row r="9" spans="1:15" x14ac:dyDescent="0.25">
      <c r="A9" s="5" t="s">
        <v>47</v>
      </c>
      <c r="B9" s="9" t="s">
        <v>48</v>
      </c>
      <c r="C9" s="9"/>
      <c r="D9" s="10" t="s">
        <v>13</v>
      </c>
      <c r="E9" s="27" t="s">
        <v>49</v>
      </c>
      <c r="F9" s="27" t="s">
        <v>50</v>
      </c>
      <c r="G9" s="25" t="s">
        <v>51</v>
      </c>
      <c r="H9" s="68">
        <f>488.34*1000</f>
        <v>488340</v>
      </c>
      <c r="I9" s="68">
        <f>293*1000</f>
        <v>293000</v>
      </c>
      <c r="J9" s="69">
        <f>97.67*1000</f>
        <v>97670</v>
      </c>
      <c r="K9" s="69">
        <v>0</v>
      </c>
      <c r="L9" s="69">
        <f>97.67*1000</f>
        <v>97670</v>
      </c>
      <c r="M9" s="39">
        <v>0</v>
      </c>
      <c r="O9" s="14"/>
    </row>
    <row r="10" spans="1:15" ht="14.25" customHeight="1" x14ac:dyDescent="0.25">
      <c r="A10" s="126" t="s">
        <v>20</v>
      </c>
      <c r="B10" s="9" t="s">
        <v>21</v>
      </c>
      <c r="C10" s="9"/>
      <c r="D10" s="10" t="s">
        <v>13</v>
      </c>
      <c r="E10" s="27" t="s">
        <v>49</v>
      </c>
      <c r="F10" s="27" t="s">
        <v>50</v>
      </c>
      <c r="G10" s="25" t="s">
        <v>52</v>
      </c>
      <c r="H10" s="68">
        <f>4000*1000</f>
        <v>4000000</v>
      </c>
      <c r="I10" s="68">
        <f>1500*1000</f>
        <v>1500000</v>
      </c>
      <c r="J10" s="69">
        <f>500*1000</f>
        <v>500000</v>
      </c>
      <c r="K10" s="69">
        <v>0</v>
      </c>
      <c r="L10" s="69">
        <f>2000*1000</f>
        <v>2000000</v>
      </c>
      <c r="M10" s="39">
        <v>0</v>
      </c>
      <c r="O10" s="14"/>
    </row>
    <row r="11" spans="1:15" x14ac:dyDescent="0.25">
      <c r="A11" s="126"/>
      <c r="B11" s="12" t="s">
        <v>23</v>
      </c>
      <c r="C11" s="12"/>
      <c r="D11" s="10" t="s">
        <v>13</v>
      </c>
      <c r="E11" s="27" t="s">
        <v>49</v>
      </c>
      <c r="F11" s="27" t="s">
        <v>50</v>
      </c>
      <c r="G11" s="25" t="s">
        <v>52</v>
      </c>
      <c r="H11" s="68">
        <v>0</v>
      </c>
      <c r="I11" s="68">
        <v>0</v>
      </c>
      <c r="J11" s="69">
        <v>0</v>
      </c>
      <c r="K11" s="69">
        <v>0</v>
      </c>
      <c r="L11" s="69">
        <v>0</v>
      </c>
      <c r="M11" s="39">
        <v>0</v>
      </c>
      <c r="O11" s="14"/>
    </row>
    <row r="12" spans="1:15" x14ac:dyDescent="0.25">
      <c r="A12" s="126"/>
      <c r="B12" s="12" t="s">
        <v>53</v>
      </c>
      <c r="C12" s="12"/>
      <c r="D12" s="10" t="s">
        <v>13</v>
      </c>
      <c r="E12" s="27" t="s">
        <v>49</v>
      </c>
      <c r="F12" s="27" t="s">
        <v>50</v>
      </c>
      <c r="G12" s="25" t="s">
        <v>52</v>
      </c>
      <c r="H12" s="76">
        <f>2530.37*1000</f>
        <v>2530370</v>
      </c>
      <c r="I12" s="76">
        <f>854*1000</f>
        <v>854000</v>
      </c>
      <c r="J12" s="69">
        <f>284.67*1000</f>
        <v>284670</v>
      </c>
      <c r="K12" s="69">
        <v>0</v>
      </c>
      <c r="L12" s="69">
        <f>1391.7*1000</f>
        <v>1391700</v>
      </c>
      <c r="M12" s="74">
        <v>0</v>
      </c>
      <c r="O12" s="14"/>
    </row>
    <row r="13" spans="1:15" ht="14.25" customHeight="1" x14ac:dyDescent="0.25">
      <c r="A13" s="126" t="s">
        <v>24</v>
      </c>
      <c r="B13" s="12" t="s">
        <v>25</v>
      </c>
      <c r="C13" s="12"/>
      <c r="D13" s="10" t="s">
        <v>22</v>
      </c>
      <c r="E13" s="57">
        <v>2</v>
      </c>
      <c r="F13" s="27" t="s">
        <v>54</v>
      </c>
      <c r="G13" s="25" t="s">
        <v>55</v>
      </c>
      <c r="H13" s="66">
        <f>15770.91*1000</f>
        <v>15770910</v>
      </c>
      <c r="I13" s="66">
        <f>13405.27*1000</f>
        <v>13405270</v>
      </c>
      <c r="J13" s="75">
        <f>1309.64*1000</f>
        <v>1309640</v>
      </c>
      <c r="K13" s="75">
        <f>385.5*1000</f>
        <v>385500</v>
      </c>
      <c r="L13" s="75">
        <f>670.5*1000</f>
        <v>670500</v>
      </c>
      <c r="M13" s="74">
        <v>0</v>
      </c>
      <c r="O13" s="14"/>
    </row>
    <row r="14" spans="1:15" x14ac:dyDescent="0.25">
      <c r="A14" s="126"/>
      <c r="B14" s="12" t="s">
        <v>26</v>
      </c>
      <c r="C14" s="12"/>
      <c r="D14" s="10" t="s">
        <v>11</v>
      </c>
      <c r="E14" s="60">
        <v>4</v>
      </c>
      <c r="F14" s="61" t="s">
        <v>43</v>
      </c>
      <c r="G14" s="25" t="s">
        <v>44</v>
      </c>
      <c r="H14" s="68">
        <v>0</v>
      </c>
      <c r="I14" s="68">
        <v>0</v>
      </c>
      <c r="J14" s="69">
        <v>0</v>
      </c>
      <c r="K14" s="69">
        <v>0</v>
      </c>
      <c r="L14" s="69">
        <v>0</v>
      </c>
      <c r="M14" s="74">
        <v>0</v>
      </c>
      <c r="O14" s="14"/>
    </row>
    <row r="15" spans="1:15" x14ac:dyDescent="0.25">
      <c r="A15" s="126"/>
      <c r="B15" s="12" t="s">
        <v>57</v>
      </c>
      <c r="C15" s="12"/>
      <c r="D15" s="10" t="s">
        <v>22</v>
      </c>
      <c r="E15" s="57">
        <v>2</v>
      </c>
      <c r="F15" s="27" t="s">
        <v>54</v>
      </c>
      <c r="G15" s="25" t="s">
        <v>55</v>
      </c>
      <c r="H15" s="66">
        <f>3133*1000</f>
        <v>3133000</v>
      </c>
      <c r="I15" s="66">
        <f>2663.05*1000</f>
        <v>2663050</v>
      </c>
      <c r="J15" s="75">
        <f>392.26*1000</f>
        <v>392260</v>
      </c>
      <c r="K15" s="69">
        <f>36.15*1000</f>
        <v>36150</v>
      </c>
      <c r="L15" s="69">
        <f>41.54*1000</f>
        <v>41540</v>
      </c>
      <c r="M15" s="74">
        <v>0</v>
      </c>
      <c r="O15" s="14"/>
    </row>
    <row r="16" spans="1:15" s="35" customFormat="1" ht="14.25" hidden="1" x14ac:dyDescent="0.25">
      <c r="A16" s="126"/>
      <c r="B16" s="30" t="s">
        <v>58</v>
      </c>
      <c r="C16" s="30"/>
      <c r="D16" s="31" t="s">
        <v>22</v>
      </c>
      <c r="E16" s="31">
        <v>2</v>
      </c>
      <c r="F16" s="32" t="s">
        <v>54</v>
      </c>
      <c r="G16" s="32" t="s">
        <v>55</v>
      </c>
      <c r="H16" s="70">
        <v>0</v>
      </c>
      <c r="I16" s="70">
        <v>0</v>
      </c>
      <c r="J16" s="71">
        <v>0</v>
      </c>
      <c r="K16" s="71">
        <v>0</v>
      </c>
      <c r="L16" s="71">
        <v>0</v>
      </c>
      <c r="M16" s="70">
        <v>0</v>
      </c>
      <c r="O16" s="36"/>
    </row>
    <row r="17" spans="1:1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0"/>
      <c r="G17" s="11" t="s">
        <v>60</v>
      </c>
      <c r="H17" s="66">
        <f>762.35*1000</f>
        <v>762350</v>
      </c>
      <c r="I17" s="66">
        <f>648*1000</f>
        <v>648000</v>
      </c>
      <c r="J17" s="75">
        <v>0</v>
      </c>
      <c r="K17" s="75">
        <f>114.35*1000</f>
        <v>114350</v>
      </c>
      <c r="L17" s="75">
        <v>0</v>
      </c>
      <c r="M17" s="66">
        <v>0</v>
      </c>
      <c r="O17" s="14"/>
    </row>
    <row r="18" spans="1:15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  <c r="O18" s="14"/>
    </row>
    <row r="20" spans="1:15" x14ac:dyDescent="0.25">
      <c r="A20" s="127" t="s">
        <v>100</v>
      </c>
      <c r="B20" s="127"/>
      <c r="C20" s="127"/>
      <c r="D20" s="127"/>
      <c r="E20" s="127"/>
    </row>
    <row r="21" spans="1:15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</row>
    <row r="22" spans="1:15" ht="14.25" customHeight="1" x14ac:dyDescent="0.25">
      <c r="A22" s="112" t="s">
        <v>30</v>
      </c>
      <c r="B22" s="9" t="s">
        <v>11</v>
      </c>
      <c r="C22" s="90">
        <f>SUM(I6:I8)</f>
        <v>12726983.109999999</v>
      </c>
      <c r="D22" s="90">
        <v>0</v>
      </c>
      <c r="E22" s="90">
        <f>C22+D22</f>
        <v>12726983.109999999</v>
      </c>
    </row>
    <row r="23" spans="1:15" x14ac:dyDescent="0.25">
      <c r="A23" s="112"/>
      <c r="B23" s="9" t="s">
        <v>14</v>
      </c>
      <c r="C23" s="74">
        <f>SUM((I17))</f>
        <v>648000</v>
      </c>
      <c r="D23" s="74">
        <v>0</v>
      </c>
      <c r="E23" s="74">
        <f>C23+D23</f>
        <v>648000</v>
      </c>
    </row>
    <row r="24" spans="1:15" x14ac:dyDescent="0.25">
      <c r="A24" s="112"/>
      <c r="B24" s="4" t="s">
        <v>31</v>
      </c>
      <c r="C24" s="95">
        <f>C22+C23</f>
        <v>13374983.109999999</v>
      </c>
      <c r="D24" s="95">
        <f t="shared" ref="D24:E24" si="0">D22+D23</f>
        <v>0</v>
      </c>
      <c r="E24" s="95">
        <f t="shared" si="0"/>
        <v>13374983.109999999</v>
      </c>
    </row>
    <row r="25" spans="1:15" ht="14.25" customHeight="1" x14ac:dyDescent="0.25">
      <c r="A25" s="112" t="s">
        <v>32</v>
      </c>
      <c r="B25" s="89" t="s">
        <v>12</v>
      </c>
      <c r="C25" s="66">
        <f>I13+I15</f>
        <v>16068320</v>
      </c>
      <c r="D25" s="66">
        <f>J13+J15</f>
        <v>1701900</v>
      </c>
      <c r="E25" s="66">
        <f>C25+D25</f>
        <v>17770220</v>
      </c>
    </row>
    <row r="26" spans="1:15" x14ac:dyDescent="0.25">
      <c r="A26" s="112"/>
      <c r="B26" s="88" t="s">
        <v>33</v>
      </c>
      <c r="C26" s="86">
        <f>C25</f>
        <v>16068320</v>
      </c>
      <c r="D26" s="86">
        <f t="shared" ref="D26:E26" si="1">D25</f>
        <v>1701900</v>
      </c>
      <c r="E26" s="86">
        <f t="shared" si="1"/>
        <v>17770220</v>
      </c>
    </row>
    <row r="27" spans="1:15" ht="14.25" customHeight="1" x14ac:dyDescent="0.25">
      <c r="A27" s="112" t="s">
        <v>34</v>
      </c>
      <c r="B27" s="13" t="s">
        <v>13</v>
      </c>
      <c r="C27" s="58">
        <f>SUM(I9:I12)</f>
        <v>2647000</v>
      </c>
      <c r="D27" s="39">
        <f>SUM(J9:J12)</f>
        <v>882340</v>
      </c>
      <c r="E27" s="39">
        <f>C27+D27</f>
        <v>3529340</v>
      </c>
    </row>
    <row r="28" spans="1:15" x14ac:dyDescent="0.25">
      <c r="A28" s="112"/>
      <c r="B28" s="4" t="s">
        <v>35</v>
      </c>
      <c r="C28" s="43">
        <f>C27</f>
        <v>2647000</v>
      </c>
      <c r="D28" s="43">
        <f t="shared" ref="D28:E28" si="2">D27</f>
        <v>882340</v>
      </c>
      <c r="E28" s="43">
        <f t="shared" si="2"/>
        <v>3529340</v>
      </c>
    </row>
    <row r="29" spans="1:15" x14ac:dyDescent="0.25">
      <c r="A29" s="7" t="s">
        <v>36</v>
      </c>
      <c r="B29" s="88" t="s">
        <v>15</v>
      </c>
      <c r="C29" s="104">
        <f>C24+C26+C28</f>
        <v>32090303.109999999</v>
      </c>
      <c r="D29" s="104">
        <f>D24+D26+D28</f>
        <v>2584240</v>
      </c>
      <c r="E29" s="104">
        <f>E24+E26+E28</f>
        <v>34674543.109999999</v>
      </c>
    </row>
    <row r="31" spans="1:15" x14ac:dyDescent="0.25">
      <c r="A31" s="113" t="s">
        <v>79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5" ht="15" customHeight="1" x14ac:dyDescent="0.25">
      <c r="A32" s="114" t="s">
        <v>62</v>
      </c>
      <c r="B32" s="114" t="s">
        <v>5</v>
      </c>
      <c r="C32" s="114" t="s">
        <v>6</v>
      </c>
      <c r="D32" s="114" t="s">
        <v>64</v>
      </c>
      <c r="E32" s="115" t="s">
        <v>90</v>
      </c>
      <c r="F32" s="115"/>
      <c r="G32" s="115"/>
      <c r="H32" s="115"/>
      <c r="I32" s="115"/>
      <c r="J32" s="116" t="s">
        <v>88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ht="14.25" customHeight="1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51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0" t="s">
        <v>54</v>
      </c>
      <c r="D36" s="50" t="s">
        <v>55</v>
      </c>
      <c r="E36" s="67">
        <f t="shared" ref="E36:J36" si="3">SUM(H13,H15,H16)</f>
        <v>18903910</v>
      </c>
      <c r="F36" s="67">
        <f t="shared" si="3"/>
        <v>16068320</v>
      </c>
      <c r="G36" s="67">
        <f t="shared" si="3"/>
        <v>1701900</v>
      </c>
      <c r="H36" s="67">
        <f t="shared" si="3"/>
        <v>421650</v>
      </c>
      <c r="I36" s="67">
        <f t="shared" si="3"/>
        <v>712040</v>
      </c>
      <c r="J36" s="80">
        <f t="shared" si="3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80">
        <f t="shared" ref="E37:J37" si="4">SUM(H10,H11,H12)</f>
        <v>6530370</v>
      </c>
      <c r="F37" s="80">
        <f t="shared" si="4"/>
        <v>2354000</v>
      </c>
      <c r="G37" s="80">
        <f t="shared" si="4"/>
        <v>784670</v>
      </c>
      <c r="H37" s="80">
        <f t="shared" si="4"/>
        <v>0</v>
      </c>
      <c r="I37" s="80">
        <f t="shared" si="4"/>
        <v>3391700</v>
      </c>
      <c r="J37" s="80">
        <f t="shared" si="4"/>
        <v>0</v>
      </c>
    </row>
    <row r="38" spans="1:10" x14ac:dyDescent="0.25">
      <c r="A38" s="111"/>
      <c r="B38" s="52" t="s">
        <v>49</v>
      </c>
      <c r="C38" s="52" t="s">
        <v>50</v>
      </c>
      <c r="D38" s="52" t="s">
        <v>51</v>
      </c>
      <c r="E38" s="80">
        <f t="shared" ref="E38:J38" si="5">SUM(H9)</f>
        <v>488340</v>
      </c>
      <c r="F38" s="80">
        <f t="shared" si="5"/>
        <v>293000</v>
      </c>
      <c r="G38" s="80">
        <f t="shared" si="5"/>
        <v>97670</v>
      </c>
      <c r="H38" s="80">
        <f t="shared" si="5"/>
        <v>0</v>
      </c>
      <c r="I38" s="80">
        <f t="shared" si="5"/>
        <v>97670</v>
      </c>
      <c r="J38" s="80">
        <f t="shared" si="5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97">
        <f t="shared" ref="E39:J39" si="6">SUM(H6,H7,H8,H14)</f>
        <v>13396824.33</v>
      </c>
      <c r="F39" s="97">
        <f t="shared" si="6"/>
        <v>12726983.109999999</v>
      </c>
      <c r="G39" s="97">
        <f t="shared" si="6"/>
        <v>0</v>
      </c>
      <c r="H39" s="97">
        <f t="shared" si="6"/>
        <v>604381.22</v>
      </c>
      <c r="I39" s="97">
        <f t="shared" si="6"/>
        <v>65460</v>
      </c>
      <c r="J39" s="80">
        <f t="shared" si="6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80">
        <f t="shared" ref="E40:J40" si="7">SUM(H17)</f>
        <v>762350</v>
      </c>
      <c r="F40" s="80">
        <f t="shared" si="7"/>
        <v>648000</v>
      </c>
      <c r="G40" s="80">
        <f t="shared" si="7"/>
        <v>0</v>
      </c>
      <c r="H40" s="80">
        <f t="shared" si="7"/>
        <v>114350</v>
      </c>
      <c r="I40" s="80">
        <f t="shared" si="7"/>
        <v>0</v>
      </c>
      <c r="J40" s="80">
        <f t="shared" si="7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E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K40"/>
  <sheetViews>
    <sheetView zoomScale="90" zoomScaleNormal="90" workbookViewId="0">
      <selection activeCell="E36" sqref="E36:I40"/>
    </sheetView>
  </sheetViews>
  <sheetFormatPr defaultRowHeight="15" x14ac:dyDescent="0.25"/>
  <cols>
    <col min="1" max="1" width="20.140625" style="8" customWidth="1"/>
    <col min="2" max="2" width="12.7109375" style="8" customWidth="1"/>
    <col min="3" max="3" width="14.5703125" style="8" customWidth="1"/>
    <col min="4" max="4" width="12.140625" style="8" customWidth="1"/>
    <col min="5" max="5" width="15" style="8" customWidth="1"/>
    <col min="6" max="6" width="12.140625" style="8" customWidth="1"/>
    <col min="7" max="7" width="10.7109375" style="8" customWidth="1"/>
    <col min="8" max="8" width="15.42578125" style="8" customWidth="1"/>
    <col min="9" max="9" width="14.7109375" style="8" customWidth="1"/>
    <col min="10" max="10" width="13.28515625" style="8" bestFit="1" customWidth="1"/>
    <col min="11" max="11" width="13.5703125" style="8" customWidth="1"/>
    <col min="12" max="12" width="12.28515625" style="8" customWidth="1"/>
    <col min="13" max="14" width="9.140625" style="8" customWidth="1"/>
    <col min="15" max="15" width="9.85546875" style="8" customWidth="1"/>
    <col min="16" max="1025" width="9.140625" style="8" customWidth="1"/>
  </cols>
  <sheetData>
    <row r="1" spans="1:15" x14ac:dyDescent="0.2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5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5" ht="14.2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5" t="s">
        <v>70</v>
      </c>
      <c r="I4" s="125" t="s">
        <v>9</v>
      </c>
      <c r="J4" s="125"/>
      <c r="K4" s="125" t="s">
        <v>10</v>
      </c>
      <c r="L4" s="125"/>
      <c r="M4" s="112"/>
    </row>
    <row r="5" spans="1:15" ht="55.5" customHeight="1" x14ac:dyDescent="0.25">
      <c r="A5" s="112"/>
      <c r="B5" s="112"/>
      <c r="C5" s="112"/>
      <c r="D5" s="124"/>
      <c r="E5" s="124"/>
      <c r="F5" s="124"/>
      <c r="G5" s="124"/>
      <c r="H5" s="125"/>
      <c r="I5" s="1" t="s">
        <v>38</v>
      </c>
      <c r="J5" s="1" t="s">
        <v>39</v>
      </c>
      <c r="K5" s="1" t="s">
        <v>40</v>
      </c>
      <c r="L5" s="1" t="s">
        <v>41</v>
      </c>
      <c r="M5" s="112"/>
    </row>
    <row r="6" spans="1:15" x14ac:dyDescent="0.25">
      <c r="A6" s="5" t="s">
        <v>16</v>
      </c>
      <c r="B6" s="9" t="s">
        <v>17</v>
      </c>
      <c r="C6" s="9"/>
      <c r="D6" s="10" t="s">
        <v>11</v>
      </c>
      <c r="E6" s="60">
        <v>4</v>
      </c>
      <c r="F6" s="61" t="s">
        <v>43</v>
      </c>
      <c r="G6" s="25" t="s">
        <v>44</v>
      </c>
      <c r="H6" s="68">
        <v>7157894.7400000002</v>
      </c>
      <c r="I6" s="68">
        <v>6800000</v>
      </c>
      <c r="J6" s="69">
        <v>0</v>
      </c>
      <c r="K6" s="69">
        <v>357894.74000000022</v>
      </c>
      <c r="L6" s="69">
        <v>0</v>
      </c>
      <c r="M6" s="74">
        <v>0</v>
      </c>
      <c r="O6" s="14"/>
    </row>
    <row r="7" spans="1:15" ht="14.25" customHeight="1" x14ac:dyDescent="0.25">
      <c r="A7" s="5" t="s">
        <v>18</v>
      </c>
      <c r="B7" s="9" t="s">
        <v>19</v>
      </c>
      <c r="C7" s="9"/>
      <c r="D7" s="10" t="s">
        <v>11</v>
      </c>
      <c r="E7" s="57">
        <v>4</v>
      </c>
      <c r="F7" s="27" t="s">
        <v>43</v>
      </c>
      <c r="G7" s="25" t="s">
        <v>44</v>
      </c>
      <c r="H7" s="68">
        <v>0</v>
      </c>
      <c r="I7" s="68">
        <v>0</v>
      </c>
      <c r="J7" s="69">
        <v>0</v>
      </c>
      <c r="K7" s="69">
        <v>0</v>
      </c>
      <c r="L7" s="69">
        <v>0</v>
      </c>
      <c r="M7" s="74">
        <v>0</v>
      </c>
      <c r="O7" s="14"/>
    </row>
    <row r="8" spans="1:15" ht="14.25" customHeight="1" x14ac:dyDescent="0.25">
      <c r="A8" s="5" t="s">
        <v>45</v>
      </c>
      <c r="B8" s="9" t="s">
        <v>46</v>
      </c>
      <c r="C8" s="9"/>
      <c r="D8" s="10" t="s">
        <v>11</v>
      </c>
      <c r="E8" s="57">
        <v>4</v>
      </c>
      <c r="F8" s="27" t="s">
        <v>43</v>
      </c>
      <c r="G8" s="25" t="s">
        <v>44</v>
      </c>
      <c r="H8" s="68">
        <v>0</v>
      </c>
      <c r="I8" s="68">
        <v>0</v>
      </c>
      <c r="J8" s="69">
        <v>0</v>
      </c>
      <c r="K8" s="69">
        <v>0</v>
      </c>
      <c r="L8" s="69">
        <v>0</v>
      </c>
      <c r="M8" s="74">
        <v>0</v>
      </c>
      <c r="O8" s="14"/>
    </row>
    <row r="9" spans="1:15" x14ac:dyDescent="0.25">
      <c r="A9" s="5" t="s">
        <v>47</v>
      </c>
      <c r="B9" s="9" t="s">
        <v>48</v>
      </c>
      <c r="C9" s="9"/>
      <c r="D9" s="10" t="s">
        <v>13</v>
      </c>
      <c r="E9" s="27" t="s">
        <v>49</v>
      </c>
      <c r="F9" s="27" t="s">
        <v>50</v>
      </c>
      <c r="G9" s="25" t="s">
        <v>51</v>
      </c>
      <c r="H9" s="68">
        <v>0</v>
      </c>
      <c r="I9" s="68">
        <f>H9*0.8*0.75</f>
        <v>0</v>
      </c>
      <c r="J9" s="69">
        <f>H9*0.8*0.25</f>
        <v>0</v>
      </c>
      <c r="K9" s="69">
        <v>0</v>
      </c>
      <c r="L9" s="69">
        <f>H9*0.2</f>
        <v>0</v>
      </c>
      <c r="M9" s="74">
        <v>0</v>
      </c>
      <c r="O9" s="14"/>
    </row>
    <row r="10" spans="1:15" ht="14.25" customHeight="1" x14ac:dyDescent="0.25">
      <c r="A10" s="126" t="s">
        <v>20</v>
      </c>
      <c r="B10" s="9" t="s">
        <v>21</v>
      </c>
      <c r="C10" s="9"/>
      <c r="D10" s="10" t="s">
        <v>13</v>
      </c>
      <c r="E10" s="27" t="s">
        <v>49</v>
      </c>
      <c r="F10" s="27" t="s">
        <v>50</v>
      </c>
      <c r="G10" s="25" t="s">
        <v>52</v>
      </c>
      <c r="H10" s="68">
        <f>1546.66*1000</f>
        <v>1546660</v>
      </c>
      <c r="I10" s="68">
        <f>580*1000</f>
        <v>580000</v>
      </c>
      <c r="J10" s="69">
        <f>193.33*1000</f>
        <v>193330</v>
      </c>
      <c r="K10" s="69">
        <v>0</v>
      </c>
      <c r="L10" s="69">
        <f>773.33*1000</f>
        <v>773330</v>
      </c>
      <c r="M10" s="74">
        <v>0</v>
      </c>
      <c r="O10" s="14"/>
    </row>
    <row r="11" spans="1:15" x14ac:dyDescent="0.25">
      <c r="A11" s="126"/>
      <c r="B11" s="12" t="s">
        <v>23</v>
      </c>
      <c r="C11" s="12"/>
      <c r="D11" s="10" t="s">
        <v>13</v>
      </c>
      <c r="E11" s="27" t="s">
        <v>49</v>
      </c>
      <c r="F11" s="27" t="s">
        <v>50</v>
      </c>
      <c r="G11" s="81" t="s">
        <v>52</v>
      </c>
      <c r="H11" s="68">
        <v>0</v>
      </c>
      <c r="I11" s="68">
        <v>0</v>
      </c>
      <c r="J11" s="69">
        <v>0</v>
      </c>
      <c r="K11" s="69">
        <v>0</v>
      </c>
      <c r="L11" s="69">
        <v>0</v>
      </c>
      <c r="M11" s="74">
        <v>0</v>
      </c>
      <c r="O11" s="14"/>
    </row>
    <row r="12" spans="1:15" x14ac:dyDescent="0.25">
      <c r="A12" s="126"/>
      <c r="B12" s="12" t="s">
        <v>53</v>
      </c>
      <c r="C12" s="12"/>
      <c r="D12" s="10" t="s">
        <v>13</v>
      </c>
      <c r="E12" s="27" t="s">
        <v>49</v>
      </c>
      <c r="F12" s="27" t="s">
        <v>50</v>
      </c>
      <c r="G12" s="81" t="s">
        <v>52</v>
      </c>
      <c r="H12" s="76">
        <v>0</v>
      </c>
      <c r="I12" s="76">
        <v>0</v>
      </c>
      <c r="J12" s="69">
        <v>0</v>
      </c>
      <c r="K12" s="69">
        <v>0</v>
      </c>
      <c r="L12" s="69">
        <v>0</v>
      </c>
      <c r="M12" s="74">
        <v>0</v>
      </c>
      <c r="O12" s="14"/>
    </row>
    <row r="13" spans="1:15" ht="14.25" customHeight="1" x14ac:dyDescent="0.25">
      <c r="A13" s="126" t="s">
        <v>24</v>
      </c>
      <c r="B13" s="12" t="s">
        <v>25</v>
      </c>
      <c r="C13" s="12"/>
      <c r="D13" s="10" t="s">
        <v>22</v>
      </c>
      <c r="E13" s="57">
        <v>2</v>
      </c>
      <c r="F13" s="27" t="s">
        <v>54</v>
      </c>
      <c r="G13" s="81" t="s">
        <v>55</v>
      </c>
      <c r="H13" s="66">
        <f>11768*1000</f>
        <v>11768000</v>
      </c>
      <c r="I13" s="66">
        <f>10002.8*1000</f>
        <v>10002800</v>
      </c>
      <c r="J13" s="75">
        <f>932.4*1000</f>
        <v>932400</v>
      </c>
      <c r="K13" s="75">
        <f>278.7*1000</f>
        <v>278700</v>
      </c>
      <c r="L13" s="75">
        <f>554.1*1000</f>
        <v>554100</v>
      </c>
      <c r="M13" s="74">
        <v>0</v>
      </c>
      <c r="O13" s="14"/>
    </row>
    <row r="14" spans="1:15" x14ac:dyDescent="0.25">
      <c r="A14" s="126"/>
      <c r="B14" s="12" t="s">
        <v>26</v>
      </c>
      <c r="C14" s="12"/>
      <c r="D14" s="10" t="s">
        <v>11</v>
      </c>
      <c r="E14" s="60">
        <v>4</v>
      </c>
      <c r="F14" s="61" t="s">
        <v>43</v>
      </c>
      <c r="G14" s="81" t="s">
        <v>44</v>
      </c>
      <c r="H14" s="68">
        <v>0</v>
      </c>
      <c r="I14" s="68">
        <v>0</v>
      </c>
      <c r="J14" s="69">
        <v>0</v>
      </c>
      <c r="K14" s="69">
        <v>0</v>
      </c>
      <c r="L14" s="69">
        <v>0</v>
      </c>
      <c r="M14" s="74">
        <v>0</v>
      </c>
      <c r="O14" s="14"/>
    </row>
    <row r="15" spans="1:15" x14ac:dyDescent="0.25">
      <c r="A15" s="126"/>
      <c r="B15" s="12" t="s">
        <v>57</v>
      </c>
      <c r="C15" s="12"/>
      <c r="D15" s="10" t="s">
        <v>22</v>
      </c>
      <c r="E15" s="57">
        <v>2</v>
      </c>
      <c r="F15" s="27" t="s">
        <v>54</v>
      </c>
      <c r="G15" s="81" t="s">
        <v>55</v>
      </c>
      <c r="H15" s="98">
        <f>2744*1000</f>
        <v>2744000</v>
      </c>
      <c r="I15" s="98">
        <f>2332.4*1000</f>
        <v>2332400</v>
      </c>
      <c r="J15" s="99">
        <f>364.13*1000</f>
        <v>364130</v>
      </c>
      <c r="K15" s="100">
        <f>22.09*1000</f>
        <v>22090</v>
      </c>
      <c r="L15" s="100">
        <f>25.38*1000</f>
        <v>25380</v>
      </c>
      <c r="M15" s="74">
        <v>0</v>
      </c>
      <c r="O15" s="14"/>
    </row>
    <row r="16" spans="1:15" s="35" customFormat="1" ht="14.25" hidden="1" x14ac:dyDescent="0.25">
      <c r="A16" s="126"/>
      <c r="B16" s="30" t="s">
        <v>58</v>
      </c>
      <c r="C16" s="30"/>
      <c r="D16" s="31" t="s">
        <v>22</v>
      </c>
      <c r="E16" s="31">
        <v>2</v>
      </c>
      <c r="F16" s="32" t="s">
        <v>54</v>
      </c>
      <c r="G16" s="82" t="s">
        <v>55</v>
      </c>
      <c r="H16" s="101">
        <v>0</v>
      </c>
      <c r="I16" s="101">
        <v>0</v>
      </c>
      <c r="J16" s="102">
        <v>0</v>
      </c>
      <c r="K16" s="102">
        <v>0</v>
      </c>
      <c r="L16" s="102">
        <v>0</v>
      </c>
      <c r="M16" s="70">
        <v>0</v>
      </c>
      <c r="O16" s="36"/>
    </row>
    <row r="17" spans="1:1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0"/>
      <c r="G17" s="83" t="s">
        <v>60</v>
      </c>
      <c r="H17" s="98">
        <f>762.35*1000</f>
        <v>762350</v>
      </c>
      <c r="I17" s="98">
        <f>648*1000</f>
        <v>648000</v>
      </c>
      <c r="J17" s="103">
        <v>0</v>
      </c>
      <c r="K17" s="99">
        <f>114.35*1000</f>
        <v>114350</v>
      </c>
      <c r="L17" s="103">
        <v>0</v>
      </c>
      <c r="M17" s="66">
        <v>0</v>
      </c>
      <c r="O17" s="14"/>
    </row>
    <row r="18" spans="1:15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  <c r="O18" s="14"/>
    </row>
    <row r="20" spans="1:15" x14ac:dyDescent="0.25">
      <c r="A20" s="127" t="s">
        <v>101</v>
      </c>
      <c r="B20" s="127"/>
      <c r="C20" s="127"/>
      <c r="D20" s="127"/>
      <c r="E20" s="127"/>
    </row>
    <row r="21" spans="1:15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</row>
    <row r="22" spans="1:15" ht="14.25" customHeight="1" x14ac:dyDescent="0.25">
      <c r="A22" s="112" t="s">
        <v>30</v>
      </c>
      <c r="B22" s="9" t="s">
        <v>11</v>
      </c>
      <c r="C22" s="74">
        <f>SUM(I6:I8)</f>
        <v>6800000</v>
      </c>
      <c r="D22" s="74">
        <v>0</v>
      </c>
      <c r="E22" s="74">
        <f>C22+D22</f>
        <v>6800000</v>
      </c>
    </row>
    <row r="23" spans="1:15" x14ac:dyDescent="0.25">
      <c r="A23" s="112"/>
      <c r="B23" s="9" t="s">
        <v>14</v>
      </c>
      <c r="C23" s="74">
        <f>SUM((I17))</f>
        <v>648000</v>
      </c>
      <c r="D23" s="74">
        <v>114.35</v>
      </c>
      <c r="E23" s="74">
        <f>C23+D23</f>
        <v>648114.35</v>
      </c>
    </row>
    <row r="24" spans="1:15" x14ac:dyDescent="0.25">
      <c r="A24" s="112"/>
      <c r="B24" s="4" t="s">
        <v>31</v>
      </c>
      <c r="C24" s="87">
        <f>C22+C23</f>
        <v>7448000</v>
      </c>
      <c r="D24" s="87">
        <v>0</v>
      </c>
      <c r="E24" s="87">
        <f t="shared" ref="E24" si="0">E22+E23</f>
        <v>7448114.3499999996</v>
      </c>
    </row>
    <row r="25" spans="1:15" ht="14.25" customHeight="1" x14ac:dyDescent="0.25">
      <c r="A25" s="112" t="s">
        <v>32</v>
      </c>
      <c r="B25" s="9" t="s">
        <v>12</v>
      </c>
      <c r="C25" s="66">
        <f>I13+I15</f>
        <v>12335200</v>
      </c>
      <c r="D25" s="66">
        <f>J13+J15</f>
        <v>1296530</v>
      </c>
      <c r="E25" s="66">
        <f>C25+D25</f>
        <v>13631730</v>
      </c>
    </row>
    <row r="26" spans="1:15" x14ac:dyDescent="0.25">
      <c r="A26" s="112"/>
      <c r="B26" s="4" t="s">
        <v>33</v>
      </c>
      <c r="C26" s="86">
        <f>C25</f>
        <v>12335200</v>
      </c>
      <c r="D26" s="86">
        <f t="shared" ref="D26:E26" si="1">D25</f>
        <v>1296530</v>
      </c>
      <c r="E26" s="86">
        <f t="shared" si="1"/>
        <v>13631730</v>
      </c>
    </row>
    <row r="27" spans="1:15" ht="14.25" customHeight="1" x14ac:dyDescent="0.25">
      <c r="A27" s="112" t="s">
        <v>34</v>
      </c>
      <c r="B27" s="13" t="s">
        <v>13</v>
      </c>
      <c r="C27" s="58">
        <f>SUM(I9:I12)</f>
        <v>580000</v>
      </c>
      <c r="D27" s="39">
        <f>SUM(J9:J12)</f>
        <v>193330</v>
      </c>
      <c r="E27" s="39">
        <f>C27+D27</f>
        <v>773330</v>
      </c>
    </row>
    <row r="28" spans="1:15" ht="35.25" customHeight="1" x14ac:dyDescent="0.25">
      <c r="A28" s="112"/>
      <c r="B28" s="4" t="s">
        <v>35</v>
      </c>
      <c r="C28" s="43">
        <f>C27</f>
        <v>580000</v>
      </c>
      <c r="D28" s="43">
        <f t="shared" ref="D28:E28" si="2">D27</f>
        <v>193330</v>
      </c>
      <c r="E28" s="43">
        <f t="shared" si="2"/>
        <v>773330</v>
      </c>
    </row>
    <row r="29" spans="1:15" x14ac:dyDescent="0.25">
      <c r="A29" s="7" t="s">
        <v>36</v>
      </c>
      <c r="B29" s="88" t="s">
        <v>15</v>
      </c>
      <c r="C29" s="106">
        <f>C24+C26+C28</f>
        <v>20363200</v>
      </c>
      <c r="D29" s="106">
        <f>D24+D26+D28</f>
        <v>1489860</v>
      </c>
      <c r="E29" s="106">
        <f>E24+E26+E28</f>
        <v>21853174.350000001</v>
      </c>
    </row>
    <row r="31" spans="1:15" x14ac:dyDescent="0.25">
      <c r="A31" s="113" t="s">
        <v>81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5" ht="15" customHeight="1" x14ac:dyDescent="0.25">
      <c r="A32" s="114" t="s">
        <v>62</v>
      </c>
      <c r="B32" s="114" t="s">
        <v>63</v>
      </c>
      <c r="C32" s="114" t="s">
        <v>6</v>
      </c>
      <c r="D32" s="114" t="s">
        <v>64</v>
      </c>
      <c r="E32" s="115" t="s">
        <v>90</v>
      </c>
      <c r="F32" s="115"/>
      <c r="G32" s="115"/>
      <c r="H32" s="115"/>
      <c r="I32" s="115"/>
      <c r="J32" s="116" t="s">
        <v>88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ht="14.25" customHeight="1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51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0" t="s">
        <v>54</v>
      </c>
      <c r="D36" s="50" t="s">
        <v>55</v>
      </c>
      <c r="E36" s="67">
        <f t="shared" ref="E36:J36" si="3">SUM(H13,H15,H16)</f>
        <v>14512000</v>
      </c>
      <c r="F36" s="67">
        <f t="shared" si="3"/>
        <v>12335200</v>
      </c>
      <c r="G36" s="67">
        <f t="shared" si="3"/>
        <v>1296530</v>
      </c>
      <c r="H36" s="67">
        <f t="shared" si="3"/>
        <v>300790</v>
      </c>
      <c r="I36" s="67">
        <f t="shared" si="3"/>
        <v>579480</v>
      </c>
      <c r="J36" s="51">
        <f t="shared" si="3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80">
        <f t="shared" ref="E37:J37" si="4">SUM(H10,H11,H12)</f>
        <v>1546660</v>
      </c>
      <c r="F37" s="80">
        <f t="shared" si="4"/>
        <v>580000</v>
      </c>
      <c r="G37" s="80">
        <f t="shared" si="4"/>
        <v>193330</v>
      </c>
      <c r="H37" s="80">
        <f t="shared" si="4"/>
        <v>0</v>
      </c>
      <c r="I37" s="80">
        <f t="shared" si="4"/>
        <v>773330</v>
      </c>
      <c r="J37" s="51">
        <f t="shared" si="4"/>
        <v>0</v>
      </c>
    </row>
    <row r="38" spans="1:10" x14ac:dyDescent="0.25">
      <c r="A38" s="111"/>
      <c r="B38" s="52" t="s">
        <v>49</v>
      </c>
      <c r="C38" s="52" t="s">
        <v>50</v>
      </c>
      <c r="D38" s="52" t="s">
        <v>51</v>
      </c>
      <c r="E38" s="80">
        <f t="shared" ref="E38:J38" si="5">SUM(H9)</f>
        <v>0</v>
      </c>
      <c r="F38" s="80">
        <f t="shared" si="5"/>
        <v>0</v>
      </c>
      <c r="G38" s="80">
        <f t="shared" si="5"/>
        <v>0</v>
      </c>
      <c r="H38" s="80">
        <f t="shared" si="5"/>
        <v>0</v>
      </c>
      <c r="I38" s="80">
        <f t="shared" si="5"/>
        <v>0</v>
      </c>
      <c r="J38" s="51">
        <f t="shared" si="5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80">
        <f t="shared" ref="E39:J39" si="6">SUM(H6,H7,H8,H14)</f>
        <v>7157894.7400000002</v>
      </c>
      <c r="F39" s="80">
        <f t="shared" si="6"/>
        <v>6800000</v>
      </c>
      <c r="G39" s="80">
        <f t="shared" si="6"/>
        <v>0</v>
      </c>
      <c r="H39" s="80">
        <f t="shared" si="6"/>
        <v>357894.74000000022</v>
      </c>
      <c r="I39" s="80">
        <f t="shared" si="6"/>
        <v>0</v>
      </c>
      <c r="J39" s="51">
        <f t="shared" si="6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80">
        <f t="shared" ref="E40:J40" si="7">SUM(H17)</f>
        <v>762350</v>
      </c>
      <c r="F40" s="80">
        <f t="shared" si="7"/>
        <v>648000</v>
      </c>
      <c r="G40" s="80">
        <f t="shared" si="7"/>
        <v>0</v>
      </c>
      <c r="H40" s="80">
        <f t="shared" si="7"/>
        <v>114350</v>
      </c>
      <c r="I40" s="80">
        <f t="shared" si="7"/>
        <v>0</v>
      </c>
      <c r="J40" s="51">
        <f t="shared" si="7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E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40"/>
  <sheetViews>
    <sheetView zoomScaleNormal="100" workbookViewId="0">
      <selection activeCell="J40" sqref="E36:J40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0.7109375" style="8" customWidth="1"/>
    <col min="8" max="8" width="12.42578125" style="8" customWidth="1"/>
    <col min="9" max="9" width="12.7109375" style="8" customWidth="1"/>
    <col min="10" max="10" width="11.42578125" style="8"/>
    <col min="11" max="11" width="13.5703125" style="8" customWidth="1"/>
    <col min="12" max="12" width="9.85546875" style="8" customWidth="1"/>
    <col min="13" max="14" width="9.140625" style="8" customWidth="1"/>
    <col min="15" max="15" width="9.85546875" style="8" customWidth="1"/>
    <col min="16" max="1025" width="9.140625" style="8" customWidth="1"/>
  </cols>
  <sheetData>
    <row r="1" spans="1:15" x14ac:dyDescent="0.25">
      <c r="A1" s="122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5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5" ht="14.2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5" t="s">
        <v>70</v>
      </c>
      <c r="I4" s="125" t="s">
        <v>9</v>
      </c>
      <c r="J4" s="125"/>
      <c r="K4" s="125" t="s">
        <v>10</v>
      </c>
      <c r="L4" s="125"/>
      <c r="M4" s="112"/>
    </row>
    <row r="5" spans="1:15" ht="55.5" customHeight="1" x14ac:dyDescent="0.25">
      <c r="A5" s="112"/>
      <c r="B5" s="112"/>
      <c r="C5" s="112"/>
      <c r="D5" s="124"/>
      <c r="E5" s="124"/>
      <c r="F5" s="124"/>
      <c r="G5" s="124"/>
      <c r="H5" s="125"/>
      <c r="I5" s="1" t="s">
        <v>38</v>
      </c>
      <c r="J5" s="1" t="s">
        <v>39</v>
      </c>
      <c r="K5" s="1" t="s">
        <v>40</v>
      </c>
      <c r="L5" s="1" t="s">
        <v>41</v>
      </c>
      <c r="M5" s="112"/>
    </row>
    <row r="6" spans="1:15" x14ac:dyDescent="0.25">
      <c r="A6" s="5" t="s">
        <v>16</v>
      </c>
      <c r="B6" s="9" t="s">
        <v>17</v>
      </c>
      <c r="C6" s="9"/>
      <c r="D6" s="10" t="s">
        <v>11</v>
      </c>
      <c r="E6" s="17">
        <v>4</v>
      </c>
      <c r="F6" s="18" t="s">
        <v>43</v>
      </c>
      <c r="G6" s="11" t="s">
        <v>44</v>
      </c>
      <c r="H6" s="74">
        <v>1869737.5</v>
      </c>
      <c r="I6" s="74">
        <v>1776250.62</v>
      </c>
      <c r="J6" s="84">
        <v>0</v>
      </c>
      <c r="K6" s="84">
        <v>93486.879999999888</v>
      </c>
      <c r="L6" s="84">
        <v>0</v>
      </c>
      <c r="M6" s="74">
        <v>0</v>
      </c>
      <c r="O6" s="14"/>
    </row>
    <row r="7" spans="1:15" ht="14.25" customHeight="1" x14ac:dyDescent="0.25">
      <c r="A7" s="5" t="s">
        <v>18</v>
      </c>
      <c r="B7" s="9" t="s">
        <v>19</v>
      </c>
      <c r="C7" s="9"/>
      <c r="D7" s="62" t="s">
        <v>11</v>
      </c>
      <c r="E7" s="57">
        <v>4</v>
      </c>
      <c r="F7" s="24" t="s">
        <v>43</v>
      </c>
      <c r="G7" s="11" t="s">
        <v>44</v>
      </c>
      <c r="H7" s="74">
        <v>0</v>
      </c>
      <c r="I7" s="74">
        <v>0</v>
      </c>
      <c r="J7" s="84">
        <v>0</v>
      </c>
      <c r="K7" s="84">
        <v>0</v>
      </c>
      <c r="L7" s="84">
        <v>0</v>
      </c>
      <c r="M7" s="74">
        <v>0</v>
      </c>
      <c r="O7" s="14"/>
    </row>
    <row r="8" spans="1:15" ht="14.25" customHeight="1" x14ac:dyDescent="0.25">
      <c r="A8" s="5" t="s">
        <v>45</v>
      </c>
      <c r="B8" s="9" t="s">
        <v>46</v>
      </c>
      <c r="C8" s="9"/>
      <c r="D8" s="62" t="s">
        <v>11</v>
      </c>
      <c r="E8" s="57">
        <v>4</v>
      </c>
      <c r="F8" s="24" t="s">
        <v>43</v>
      </c>
      <c r="G8" s="11" t="s">
        <v>44</v>
      </c>
      <c r="H8" s="74">
        <v>0</v>
      </c>
      <c r="I8" s="74">
        <v>0</v>
      </c>
      <c r="J8" s="84">
        <v>0</v>
      </c>
      <c r="K8" s="84">
        <v>0</v>
      </c>
      <c r="L8" s="84">
        <v>0</v>
      </c>
      <c r="M8" s="74">
        <v>0</v>
      </c>
      <c r="O8" s="14"/>
    </row>
    <row r="9" spans="1:15" x14ac:dyDescent="0.25">
      <c r="A9" s="5" t="s">
        <v>47</v>
      </c>
      <c r="B9" s="9" t="s">
        <v>48</v>
      </c>
      <c r="C9" s="9"/>
      <c r="D9" s="62" t="s">
        <v>13</v>
      </c>
      <c r="E9" s="27" t="s">
        <v>49</v>
      </c>
      <c r="F9" s="24" t="s">
        <v>50</v>
      </c>
      <c r="G9" s="11" t="s">
        <v>51</v>
      </c>
      <c r="H9" s="74">
        <v>0</v>
      </c>
      <c r="I9" s="74">
        <f>H9*0.8*0.75</f>
        <v>0</v>
      </c>
      <c r="J9" s="84">
        <f>H9*0.8*0.25</f>
        <v>0</v>
      </c>
      <c r="K9" s="84">
        <v>0</v>
      </c>
      <c r="L9" s="84">
        <f>H9*0.2</f>
        <v>0</v>
      </c>
      <c r="M9" s="74">
        <v>0</v>
      </c>
      <c r="O9" s="14"/>
    </row>
    <row r="10" spans="1:15" ht="14.25" customHeight="1" x14ac:dyDescent="0.25">
      <c r="A10" s="126" t="s">
        <v>20</v>
      </c>
      <c r="B10" s="9" t="s">
        <v>21</v>
      </c>
      <c r="C10" s="9"/>
      <c r="D10" s="62" t="s">
        <v>13</v>
      </c>
      <c r="E10" s="27" t="s">
        <v>49</v>
      </c>
      <c r="F10" s="24" t="s">
        <v>50</v>
      </c>
      <c r="G10" s="11" t="s">
        <v>52</v>
      </c>
      <c r="H10" s="74">
        <v>0</v>
      </c>
      <c r="I10" s="74">
        <f>H10*0.5*0.75</f>
        <v>0</v>
      </c>
      <c r="J10" s="84">
        <f>H10*0.5*0.25</f>
        <v>0</v>
      </c>
      <c r="K10" s="84">
        <v>0</v>
      </c>
      <c r="L10" s="84">
        <f>H10*0.5</f>
        <v>0</v>
      </c>
      <c r="M10" s="74">
        <v>0</v>
      </c>
      <c r="O10" s="14"/>
    </row>
    <row r="11" spans="1:15" x14ac:dyDescent="0.25">
      <c r="A11" s="126"/>
      <c r="B11" s="12" t="s">
        <v>23</v>
      </c>
      <c r="C11" s="12"/>
      <c r="D11" s="62" t="s">
        <v>13</v>
      </c>
      <c r="E11" s="27" t="s">
        <v>49</v>
      </c>
      <c r="F11" s="24" t="s">
        <v>50</v>
      </c>
      <c r="G11" s="11" t="s">
        <v>52</v>
      </c>
      <c r="H11" s="74">
        <v>0</v>
      </c>
      <c r="I11" s="74">
        <f>H11*0.5*0.75</f>
        <v>0</v>
      </c>
      <c r="J11" s="84">
        <f>H11*0.5*0.25</f>
        <v>0</v>
      </c>
      <c r="K11" s="84">
        <v>0</v>
      </c>
      <c r="L11" s="84">
        <f>H11*0.5</f>
        <v>0</v>
      </c>
      <c r="M11" s="74">
        <v>0</v>
      </c>
      <c r="O11" s="14"/>
    </row>
    <row r="12" spans="1:15" x14ac:dyDescent="0.25">
      <c r="A12" s="126"/>
      <c r="B12" s="12" t="s">
        <v>53</v>
      </c>
      <c r="C12" s="12"/>
      <c r="D12" s="62" t="s">
        <v>13</v>
      </c>
      <c r="E12" s="27" t="s">
        <v>49</v>
      </c>
      <c r="F12" s="24" t="s">
        <v>50</v>
      </c>
      <c r="G12" s="11" t="s">
        <v>52</v>
      </c>
      <c r="H12" s="96">
        <v>0</v>
      </c>
      <c r="I12" s="96">
        <f>H12*0.45*0.75</f>
        <v>0</v>
      </c>
      <c r="J12" s="84">
        <f>H12*0.45*0.25</f>
        <v>0</v>
      </c>
      <c r="K12" s="84">
        <v>0</v>
      </c>
      <c r="L12" s="84">
        <f>H12*0.55</f>
        <v>0</v>
      </c>
      <c r="M12" s="74">
        <v>0</v>
      </c>
      <c r="O12" s="14"/>
    </row>
    <row r="13" spans="1:15" ht="14.25" customHeight="1" x14ac:dyDescent="0.25">
      <c r="A13" s="126" t="s">
        <v>24</v>
      </c>
      <c r="B13" s="12" t="s">
        <v>25</v>
      </c>
      <c r="C13" s="12"/>
      <c r="D13" s="10" t="s">
        <v>22</v>
      </c>
      <c r="E13" s="23">
        <v>2</v>
      </c>
      <c r="F13" s="24" t="s">
        <v>54</v>
      </c>
      <c r="G13" s="11" t="s">
        <v>55</v>
      </c>
      <c r="H13" s="74">
        <v>0</v>
      </c>
      <c r="I13" s="74">
        <v>0</v>
      </c>
      <c r="J13" s="84">
        <v>0</v>
      </c>
      <c r="K13" s="84">
        <v>0</v>
      </c>
      <c r="L13" s="84">
        <v>0</v>
      </c>
      <c r="M13" s="74">
        <v>0</v>
      </c>
      <c r="O13" s="14"/>
    </row>
    <row r="14" spans="1:15" x14ac:dyDescent="0.25">
      <c r="A14" s="126"/>
      <c r="B14" s="12" t="s">
        <v>26</v>
      </c>
      <c r="C14" s="12"/>
      <c r="D14" s="10" t="s">
        <v>11</v>
      </c>
      <c r="E14" s="17">
        <v>4</v>
      </c>
      <c r="F14" s="18" t="s">
        <v>43</v>
      </c>
      <c r="G14" s="11" t="s">
        <v>44</v>
      </c>
      <c r="H14" s="74">
        <v>0</v>
      </c>
      <c r="I14" s="74">
        <v>0</v>
      </c>
      <c r="J14" s="84">
        <v>0</v>
      </c>
      <c r="K14" s="84">
        <v>0</v>
      </c>
      <c r="L14" s="84">
        <v>0</v>
      </c>
      <c r="M14" s="74">
        <v>0</v>
      </c>
      <c r="O14" s="14"/>
    </row>
    <row r="15" spans="1:15" x14ac:dyDescent="0.25">
      <c r="A15" s="126"/>
      <c r="B15" s="12" t="s">
        <v>57</v>
      </c>
      <c r="C15" s="12"/>
      <c r="D15" s="10" t="s">
        <v>22</v>
      </c>
      <c r="E15" s="23">
        <v>2</v>
      </c>
      <c r="F15" s="24" t="s">
        <v>54</v>
      </c>
      <c r="G15" s="11" t="s">
        <v>55</v>
      </c>
      <c r="H15" s="66">
        <f>2133*1000</f>
        <v>2133000</v>
      </c>
      <c r="I15" s="66">
        <f>1813.05*1000</f>
        <v>1813050</v>
      </c>
      <c r="J15" s="75">
        <f>319.95*1000</f>
        <v>319950</v>
      </c>
      <c r="K15" s="84">
        <v>0</v>
      </c>
      <c r="L15" s="84">
        <v>0</v>
      </c>
      <c r="M15" s="74">
        <v>0</v>
      </c>
      <c r="O15" s="14"/>
    </row>
    <row r="16" spans="1:15" s="35" customFormat="1" ht="14.25" hidden="1" x14ac:dyDescent="0.25">
      <c r="A16" s="126"/>
      <c r="B16" s="30" t="s">
        <v>58</v>
      </c>
      <c r="C16" s="30"/>
      <c r="D16" s="31" t="s">
        <v>22</v>
      </c>
      <c r="E16" s="31">
        <v>2</v>
      </c>
      <c r="F16" s="32" t="s">
        <v>54</v>
      </c>
      <c r="G16" s="32" t="s">
        <v>55</v>
      </c>
      <c r="H16" s="70">
        <v>0</v>
      </c>
      <c r="I16" s="70">
        <v>0</v>
      </c>
      <c r="J16" s="71">
        <v>0</v>
      </c>
      <c r="K16" s="71">
        <v>0</v>
      </c>
      <c r="L16" s="71">
        <f>H16*0.15</f>
        <v>0</v>
      </c>
      <c r="M16" s="70">
        <v>0</v>
      </c>
      <c r="O16" s="36"/>
    </row>
    <row r="17" spans="1:1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0"/>
      <c r="G17" s="11" t="s">
        <v>60</v>
      </c>
      <c r="H17" s="66">
        <f>762.35*1000</f>
        <v>762350</v>
      </c>
      <c r="I17" s="66">
        <f>648*1000</f>
        <v>648000</v>
      </c>
      <c r="J17" s="75">
        <v>0</v>
      </c>
      <c r="K17" s="75">
        <f>114.35*1000</f>
        <v>114350</v>
      </c>
      <c r="L17" s="75">
        <v>0</v>
      </c>
      <c r="M17" s="66">
        <v>0</v>
      </c>
      <c r="O17" s="14"/>
    </row>
    <row r="18" spans="1:15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  <c r="O18" s="14"/>
    </row>
    <row r="20" spans="1:15" x14ac:dyDescent="0.25">
      <c r="A20" s="127" t="s">
        <v>102</v>
      </c>
      <c r="B20" s="127"/>
      <c r="C20" s="127"/>
      <c r="D20" s="127"/>
      <c r="E20" s="127"/>
    </row>
    <row r="21" spans="1:15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</row>
    <row r="22" spans="1:15" ht="14.25" customHeight="1" x14ac:dyDescent="0.25">
      <c r="A22" s="112" t="s">
        <v>30</v>
      </c>
      <c r="B22" s="9" t="s">
        <v>11</v>
      </c>
      <c r="C22" s="74">
        <f>SUM(I6:I8)</f>
        <v>1776250.62</v>
      </c>
      <c r="D22" s="74">
        <v>0</v>
      </c>
      <c r="E22" s="74">
        <f>C22+D22</f>
        <v>1776250.62</v>
      </c>
    </row>
    <row r="23" spans="1:15" x14ac:dyDescent="0.25">
      <c r="A23" s="112"/>
      <c r="B23" s="9" t="s">
        <v>14</v>
      </c>
      <c r="C23" s="74">
        <f>SUM((I17))</f>
        <v>648000</v>
      </c>
      <c r="D23" s="74">
        <v>114.35</v>
      </c>
      <c r="E23" s="74">
        <f>C23+D23</f>
        <v>648114.35</v>
      </c>
    </row>
    <row r="24" spans="1:15" x14ac:dyDescent="0.25">
      <c r="A24" s="112"/>
      <c r="B24" s="4" t="s">
        <v>31</v>
      </c>
      <c r="C24" s="87">
        <f>C22+C23</f>
        <v>2424250.62</v>
      </c>
      <c r="D24" s="87">
        <v>0</v>
      </c>
      <c r="E24" s="87">
        <f t="shared" ref="E24" si="0">E22+E23</f>
        <v>2424364.9700000002</v>
      </c>
    </row>
    <row r="25" spans="1:15" ht="14.25" customHeight="1" x14ac:dyDescent="0.25">
      <c r="A25" s="112" t="s">
        <v>32</v>
      </c>
      <c r="B25" s="9" t="s">
        <v>12</v>
      </c>
      <c r="C25" s="66">
        <f>I13+I15</f>
        <v>1813050</v>
      </c>
      <c r="D25" s="66">
        <f>J13+J15</f>
        <v>319950</v>
      </c>
      <c r="E25" s="66">
        <f>C25+D25</f>
        <v>2133000</v>
      </c>
    </row>
    <row r="26" spans="1:15" x14ac:dyDescent="0.25">
      <c r="A26" s="112"/>
      <c r="B26" s="4" t="s">
        <v>33</v>
      </c>
      <c r="C26" s="86">
        <f>SUM(C25)</f>
        <v>1813050</v>
      </c>
      <c r="D26" s="86">
        <f>SUM(D25)</f>
        <v>319950</v>
      </c>
      <c r="E26" s="86">
        <f>C26+D26</f>
        <v>2133000</v>
      </c>
    </row>
    <row r="27" spans="1:15" ht="14.25" customHeight="1" x14ac:dyDescent="0.25">
      <c r="A27" s="112" t="s">
        <v>34</v>
      </c>
      <c r="B27" s="13" t="s">
        <v>13</v>
      </c>
      <c r="C27" s="58">
        <f>SUM(I9,I10,I11,I12)</f>
        <v>0</v>
      </c>
      <c r="D27" s="39">
        <f>SUM(J9,J10,J11,J12,K9,K10,K11,K12,L9,L10,L11,L12)</f>
        <v>0</v>
      </c>
      <c r="E27" s="39">
        <f>C27+D27</f>
        <v>0</v>
      </c>
    </row>
    <row r="28" spans="1:15" x14ac:dyDescent="0.25">
      <c r="A28" s="112"/>
      <c r="B28" s="4" t="s">
        <v>35</v>
      </c>
      <c r="C28" s="87">
        <f>SUM(C27)</f>
        <v>0</v>
      </c>
      <c r="D28" s="87">
        <f>SUM(D27)</f>
        <v>0</v>
      </c>
      <c r="E28" s="85">
        <f>C28+D28</f>
        <v>0</v>
      </c>
    </row>
    <row r="29" spans="1:15" x14ac:dyDescent="0.25">
      <c r="A29" s="7" t="s">
        <v>36</v>
      </c>
      <c r="B29" s="88" t="s">
        <v>15</v>
      </c>
      <c r="C29" s="106">
        <f>C24+C26+C28</f>
        <v>4237300.62</v>
      </c>
      <c r="D29" s="106">
        <f>D24+D26+D28</f>
        <v>319950</v>
      </c>
      <c r="E29" s="66">
        <f>C29+D29</f>
        <v>4557250.62</v>
      </c>
    </row>
    <row r="31" spans="1:15" x14ac:dyDescent="0.25">
      <c r="A31" s="113" t="s">
        <v>83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5" ht="15" customHeight="1" x14ac:dyDescent="0.25">
      <c r="A32" s="114" t="s">
        <v>62</v>
      </c>
      <c r="B32" s="114" t="s">
        <v>5</v>
      </c>
      <c r="C32" s="114" t="s">
        <v>6</v>
      </c>
      <c r="D32" s="114" t="s">
        <v>64</v>
      </c>
      <c r="E32" s="115" t="s">
        <v>87</v>
      </c>
      <c r="F32" s="115"/>
      <c r="G32" s="115"/>
      <c r="H32" s="115"/>
      <c r="I32" s="115"/>
      <c r="J32" s="116" t="s">
        <v>88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ht="14.25" customHeight="1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51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0" t="s">
        <v>54</v>
      </c>
      <c r="D36" s="50" t="s">
        <v>55</v>
      </c>
      <c r="E36" s="67">
        <f t="shared" ref="E36:J36" si="1">SUM(H13,H15,H16)</f>
        <v>2133000</v>
      </c>
      <c r="F36" s="67">
        <f t="shared" si="1"/>
        <v>1813050</v>
      </c>
      <c r="G36" s="67">
        <f t="shared" si="1"/>
        <v>319950</v>
      </c>
      <c r="H36" s="67">
        <f t="shared" si="1"/>
        <v>0</v>
      </c>
      <c r="I36" s="67">
        <f t="shared" si="1"/>
        <v>0</v>
      </c>
      <c r="J36" s="80">
        <f t="shared" si="1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80">
        <f t="shared" ref="E37:J37" si="2">SUM(H10,H11,H12)</f>
        <v>0</v>
      </c>
      <c r="F37" s="80">
        <f t="shared" si="2"/>
        <v>0</v>
      </c>
      <c r="G37" s="80">
        <f t="shared" si="2"/>
        <v>0</v>
      </c>
      <c r="H37" s="80">
        <f t="shared" si="2"/>
        <v>0</v>
      </c>
      <c r="I37" s="80">
        <f t="shared" si="2"/>
        <v>0</v>
      </c>
      <c r="J37" s="80">
        <f t="shared" si="2"/>
        <v>0</v>
      </c>
    </row>
    <row r="38" spans="1:10" x14ac:dyDescent="0.25">
      <c r="A38" s="111"/>
      <c r="B38" s="52" t="s">
        <v>49</v>
      </c>
      <c r="C38" s="52" t="s">
        <v>50</v>
      </c>
      <c r="D38" s="52" t="s">
        <v>51</v>
      </c>
      <c r="E38" s="80">
        <f t="shared" ref="E38:J38" si="3">SUM(H9)</f>
        <v>0</v>
      </c>
      <c r="F38" s="80">
        <f t="shared" si="3"/>
        <v>0</v>
      </c>
      <c r="G38" s="80">
        <f t="shared" si="3"/>
        <v>0</v>
      </c>
      <c r="H38" s="80">
        <f t="shared" si="3"/>
        <v>0</v>
      </c>
      <c r="I38" s="80">
        <f t="shared" si="3"/>
        <v>0</v>
      </c>
      <c r="J38" s="80">
        <f t="shared" si="3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80">
        <f t="shared" ref="E39:J39" si="4">SUM(H6,H7,H8,H14)</f>
        <v>1869737.5</v>
      </c>
      <c r="F39" s="80">
        <f t="shared" si="4"/>
        <v>1776250.62</v>
      </c>
      <c r="G39" s="80">
        <f t="shared" si="4"/>
        <v>0</v>
      </c>
      <c r="H39" s="80">
        <f t="shared" si="4"/>
        <v>93486.879999999888</v>
      </c>
      <c r="I39" s="80">
        <f t="shared" si="4"/>
        <v>0</v>
      </c>
      <c r="J39" s="80">
        <f t="shared" si="4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80">
        <f t="shared" ref="E40:J40" si="5">SUM(H17)</f>
        <v>762350</v>
      </c>
      <c r="F40" s="80">
        <f t="shared" si="5"/>
        <v>648000</v>
      </c>
      <c r="G40" s="80">
        <f t="shared" si="5"/>
        <v>0</v>
      </c>
      <c r="H40" s="80">
        <f t="shared" si="5"/>
        <v>114350</v>
      </c>
      <c r="I40" s="80">
        <f t="shared" si="5"/>
        <v>0</v>
      </c>
      <c r="J40" s="80">
        <f t="shared" si="5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E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40"/>
  <sheetViews>
    <sheetView zoomScaleNormal="100" workbookViewId="0">
      <selection activeCell="C29" sqref="C29:E29"/>
    </sheetView>
  </sheetViews>
  <sheetFormatPr defaultRowHeight="15" x14ac:dyDescent="0.25"/>
  <cols>
    <col min="1" max="1" width="20.140625" style="8" customWidth="1"/>
    <col min="2" max="2" width="12.7109375" style="8" customWidth="1"/>
    <col min="3" max="4" width="12.140625" style="8" customWidth="1"/>
    <col min="5" max="5" width="15" style="8" customWidth="1"/>
    <col min="6" max="6" width="12.140625" style="8" customWidth="1"/>
    <col min="7" max="7" width="10.7109375" style="8" customWidth="1"/>
    <col min="8" max="10" width="11.42578125" style="8"/>
    <col min="11" max="11" width="13.5703125" style="8" customWidth="1"/>
    <col min="12" max="12" width="9.85546875" style="8" customWidth="1"/>
    <col min="13" max="14" width="9.140625" style="8" customWidth="1"/>
    <col min="15" max="15" width="9.85546875" style="8" customWidth="1"/>
    <col min="16" max="1025" width="9.140625" style="8" customWidth="1"/>
  </cols>
  <sheetData>
    <row r="1" spans="1:15" x14ac:dyDescent="0.25">
      <c r="A1" s="122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5" ht="14.25" customHeight="1" x14ac:dyDescent="0.25">
      <c r="A2" s="112" t="s">
        <v>0</v>
      </c>
      <c r="B2" s="112" t="s">
        <v>1</v>
      </c>
      <c r="C2" s="112" t="s">
        <v>2</v>
      </c>
      <c r="D2" s="112" t="s">
        <v>3</v>
      </c>
      <c r="E2" s="112"/>
      <c r="F2" s="112"/>
      <c r="G2" s="112"/>
      <c r="H2" s="123" t="s">
        <v>87</v>
      </c>
      <c r="I2" s="123"/>
      <c r="J2" s="123"/>
      <c r="K2" s="123"/>
      <c r="L2" s="123"/>
      <c r="M2" s="112" t="s">
        <v>88</v>
      </c>
    </row>
    <row r="3" spans="1:15" ht="14.25" customHeight="1" x14ac:dyDescent="0.25">
      <c r="A3" s="112"/>
      <c r="B3" s="112"/>
      <c r="C3" s="112"/>
      <c r="D3" s="112"/>
      <c r="E3" s="112"/>
      <c r="F3" s="112"/>
      <c r="G3" s="112"/>
      <c r="H3" s="123"/>
      <c r="I3" s="123"/>
      <c r="J3" s="123"/>
      <c r="K3" s="123"/>
      <c r="L3" s="123"/>
      <c r="M3" s="112"/>
    </row>
    <row r="4" spans="1:15" ht="14.25" customHeight="1" x14ac:dyDescent="0.25">
      <c r="A4" s="112"/>
      <c r="B4" s="112"/>
      <c r="C4" s="112"/>
      <c r="D4" s="124" t="s">
        <v>4</v>
      </c>
      <c r="E4" s="124" t="s">
        <v>5</v>
      </c>
      <c r="F4" s="124" t="s">
        <v>6</v>
      </c>
      <c r="G4" s="124" t="s">
        <v>7</v>
      </c>
      <c r="H4" s="124" t="s">
        <v>70</v>
      </c>
      <c r="I4" s="124" t="s">
        <v>9</v>
      </c>
      <c r="J4" s="124"/>
      <c r="K4" s="124" t="s">
        <v>10</v>
      </c>
      <c r="L4" s="124"/>
      <c r="M4" s="112"/>
    </row>
    <row r="5" spans="1:15" ht="55.5" customHeight="1" x14ac:dyDescent="0.25">
      <c r="A5" s="112"/>
      <c r="B5" s="112"/>
      <c r="C5" s="112"/>
      <c r="D5" s="124"/>
      <c r="E5" s="124"/>
      <c r="F5" s="124"/>
      <c r="G5" s="124"/>
      <c r="H5" s="124"/>
      <c r="I5" s="1" t="s">
        <v>38</v>
      </c>
      <c r="J5" s="1" t="s">
        <v>39</v>
      </c>
      <c r="K5" s="1" t="s">
        <v>40</v>
      </c>
      <c r="L5" s="1" t="s">
        <v>41</v>
      </c>
      <c r="M5" s="112"/>
    </row>
    <row r="6" spans="1:15" x14ac:dyDescent="0.25">
      <c r="A6" s="5" t="s">
        <v>16</v>
      </c>
      <c r="B6" s="9" t="s">
        <v>17</v>
      </c>
      <c r="C6" s="9"/>
      <c r="D6" s="10" t="s">
        <v>11</v>
      </c>
      <c r="E6" s="60">
        <v>4</v>
      </c>
      <c r="F6" s="61" t="s">
        <v>43</v>
      </c>
      <c r="G6" s="25" t="s">
        <v>44</v>
      </c>
      <c r="H6" s="74">
        <f>I6/0.95</f>
        <v>0</v>
      </c>
      <c r="I6" s="74">
        <v>0</v>
      </c>
      <c r="J6" s="84">
        <v>0</v>
      </c>
      <c r="K6" s="84">
        <f>H6*0.05</f>
        <v>0</v>
      </c>
      <c r="L6" s="84">
        <v>0</v>
      </c>
      <c r="M6" s="74">
        <v>0</v>
      </c>
      <c r="O6" s="14"/>
    </row>
    <row r="7" spans="1:15" ht="14.25" customHeight="1" x14ac:dyDescent="0.25">
      <c r="A7" s="5" t="s">
        <v>18</v>
      </c>
      <c r="B7" s="9" t="s">
        <v>19</v>
      </c>
      <c r="C7" s="9"/>
      <c r="D7" s="10" t="s">
        <v>11</v>
      </c>
      <c r="E7" s="57">
        <v>4</v>
      </c>
      <c r="F7" s="27" t="s">
        <v>43</v>
      </c>
      <c r="G7" s="25" t="s">
        <v>44</v>
      </c>
      <c r="H7" s="74">
        <f>I7/0.95</f>
        <v>0</v>
      </c>
      <c r="I7" s="74">
        <v>0</v>
      </c>
      <c r="J7" s="84">
        <v>0</v>
      </c>
      <c r="K7" s="84">
        <f>H7*0.05</f>
        <v>0</v>
      </c>
      <c r="L7" s="84">
        <v>0</v>
      </c>
      <c r="M7" s="74">
        <v>0</v>
      </c>
      <c r="O7" s="14"/>
    </row>
    <row r="8" spans="1:15" ht="14.25" customHeight="1" x14ac:dyDescent="0.25">
      <c r="A8" s="5" t="s">
        <v>45</v>
      </c>
      <c r="B8" s="9" t="s">
        <v>46</v>
      </c>
      <c r="C8" s="9"/>
      <c r="D8" s="10" t="s">
        <v>11</v>
      </c>
      <c r="E8" s="57">
        <v>4</v>
      </c>
      <c r="F8" s="27" t="s">
        <v>43</v>
      </c>
      <c r="G8" s="25" t="s">
        <v>44</v>
      </c>
      <c r="H8" s="74">
        <f>I8/0.95</f>
        <v>0</v>
      </c>
      <c r="I8" s="74">
        <v>0</v>
      </c>
      <c r="J8" s="84">
        <v>0</v>
      </c>
      <c r="K8" s="84">
        <f>H8*0.025</f>
        <v>0</v>
      </c>
      <c r="L8" s="84">
        <f>H8*0.025</f>
        <v>0</v>
      </c>
      <c r="M8" s="74">
        <v>0</v>
      </c>
      <c r="O8" s="14"/>
    </row>
    <row r="9" spans="1:15" x14ac:dyDescent="0.25">
      <c r="A9" s="5" t="s">
        <v>47</v>
      </c>
      <c r="B9" s="9" t="s">
        <v>48</v>
      </c>
      <c r="C9" s="9"/>
      <c r="D9" s="10" t="s">
        <v>13</v>
      </c>
      <c r="E9" s="27" t="s">
        <v>49</v>
      </c>
      <c r="F9" s="27" t="s">
        <v>50</v>
      </c>
      <c r="G9" s="25" t="s">
        <v>51</v>
      </c>
      <c r="H9" s="74">
        <v>0</v>
      </c>
      <c r="I9" s="74">
        <v>0</v>
      </c>
      <c r="J9" s="84">
        <f>H9*0.8*0.25</f>
        <v>0</v>
      </c>
      <c r="K9" s="84">
        <v>0</v>
      </c>
      <c r="L9" s="84">
        <f>H9*0.2</f>
        <v>0</v>
      </c>
      <c r="M9" s="74">
        <v>0</v>
      </c>
      <c r="O9" s="14"/>
    </row>
    <row r="10" spans="1:15" ht="14.25" customHeight="1" x14ac:dyDescent="0.25">
      <c r="A10" s="126" t="s">
        <v>20</v>
      </c>
      <c r="B10" s="9" t="s">
        <v>21</v>
      </c>
      <c r="C10" s="9"/>
      <c r="D10" s="10" t="s">
        <v>13</v>
      </c>
      <c r="E10" s="27" t="s">
        <v>49</v>
      </c>
      <c r="F10" s="27" t="s">
        <v>50</v>
      </c>
      <c r="G10" s="25" t="s">
        <v>52</v>
      </c>
      <c r="H10" s="74">
        <v>0</v>
      </c>
      <c r="I10" s="74">
        <v>0</v>
      </c>
      <c r="J10" s="84">
        <f>H10*0.5*0.25</f>
        <v>0</v>
      </c>
      <c r="K10" s="84">
        <v>0</v>
      </c>
      <c r="L10" s="84">
        <f>H10*0.5</f>
        <v>0</v>
      </c>
      <c r="M10" s="74">
        <v>0</v>
      </c>
      <c r="O10" s="14"/>
    </row>
    <row r="11" spans="1:15" x14ac:dyDescent="0.25">
      <c r="A11" s="126"/>
      <c r="B11" s="12" t="s">
        <v>23</v>
      </c>
      <c r="C11" s="12"/>
      <c r="D11" s="10" t="s">
        <v>13</v>
      </c>
      <c r="E11" s="27" t="s">
        <v>49</v>
      </c>
      <c r="F11" s="27" t="s">
        <v>50</v>
      </c>
      <c r="G11" s="25" t="s">
        <v>52</v>
      </c>
      <c r="H11" s="74">
        <v>0</v>
      </c>
      <c r="I11" s="74">
        <v>0</v>
      </c>
      <c r="J11" s="84">
        <f>H11*0.5*0.25</f>
        <v>0</v>
      </c>
      <c r="K11" s="84">
        <v>0</v>
      </c>
      <c r="L11" s="84">
        <f>H11*0.5</f>
        <v>0</v>
      </c>
      <c r="M11" s="74">
        <v>0</v>
      </c>
      <c r="O11" s="14"/>
    </row>
    <row r="12" spans="1:15" x14ac:dyDescent="0.25">
      <c r="A12" s="126"/>
      <c r="B12" s="12" t="s">
        <v>53</v>
      </c>
      <c r="C12" s="12"/>
      <c r="D12" s="10" t="s">
        <v>13</v>
      </c>
      <c r="E12" s="27" t="s">
        <v>49</v>
      </c>
      <c r="F12" s="27" t="s">
        <v>50</v>
      </c>
      <c r="G12" s="25" t="s">
        <v>52</v>
      </c>
      <c r="H12" s="96">
        <v>0</v>
      </c>
      <c r="I12" s="74">
        <v>0</v>
      </c>
      <c r="J12" s="84">
        <f>H12*0.45*0.25</f>
        <v>0</v>
      </c>
      <c r="K12" s="84">
        <v>0</v>
      </c>
      <c r="L12" s="84">
        <f>H12*0.55</f>
        <v>0</v>
      </c>
      <c r="M12" s="74">
        <v>0</v>
      </c>
      <c r="O12" s="14"/>
    </row>
    <row r="13" spans="1:15" ht="14.25" customHeight="1" x14ac:dyDescent="0.25">
      <c r="A13" s="126" t="s">
        <v>24</v>
      </c>
      <c r="B13" s="12" t="s">
        <v>25</v>
      </c>
      <c r="C13" s="12"/>
      <c r="D13" s="10" t="s">
        <v>22</v>
      </c>
      <c r="E13" s="23">
        <v>2</v>
      </c>
      <c r="F13" s="24" t="s">
        <v>54</v>
      </c>
      <c r="G13" s="11" t="s">
        <v>55</v>
      </c>
      <c r="H13" s="74">
        <v>0</v>
      </c>
      <c r="I13" s="74">
        <v>0</v>
      </c>
      <c r="J13" s="84">
        <f>H13/2*0.1</f>
        <v>0</v>
      </c>
      <c r="K13" s="84">
        <f>H13/2*0.05</f>
        <v>0</v>
      </c>
      <c r="L13" s="84">
        <f>H13/2*0.15</f>
        <v>0</v>
      </c>
      <c r="M13" s="74">
        <v>0</v>
      </c>
      <c r="O13" s="14"/>
    </row>
    <row r="14" spans="1:15" x14ac:dyDescent="0.25">
      <c r="A14" s="126"/>
      <c r="B14" s="12" t="s">
        <v>26</v>
      </c>
      <c r="C14" s="12"/>
      <c r="D14" s="10" t="s">
        <v>11</v>
      </c>
      <c r="E14" s="17">
        <v>4</v>
      </c>
      <c r="F14" s="18" t="s">
        <v>43</v>
      </c>
      <c r="G14" s="11" t="s">
        <v>44</v>
      </c>
      <c r="H14" s="74">
        <v>0</v>
      </c>
      <c r="I14" s="74">
        <v>0</v>
      </c>
      <c r="J14" s="84">
        <v>0</v>
      </c>
      <c r="K14" s="84">
        <v>0</v>
      </c>
      <c r="L14" s="84">
        <v>0</v>
      </c>
      <c r="M14" s="74">
        <v>0</v>
      </c>
      <c r="O14" s="14"/>
    </row>
    <row r="15" spans="1:15" x14ac:dyDescent="0.25">
      <c r="A15" s="126"/>
      <c r="B15" s="12" t="s">
        <v>57</v>
      </c>
      <c r="C15" s="12"/>
      <c r="D15" s="10" t="s">
        <v>22</v>
      </c>
      <c r="E15" s="23">
        <v>2</v>
      </c>
      <c r="F15" s="24" t="s">
        <v>54</v>
      </c>
      <c r="G15" s="11" t="s">
        <v>55</v>
      </c>
      <c r="H15" s="74">
        <v>0</v>
      </c>
      <c r="I15" s="74">
        <v>0</v>
      </c>
      <c r="J15" s="84">
        <f>H15*0.1</f>
        <v>0</v>
      </c>
      <c r="K15" s="84">
        <f>H15*0.05</f>
        <v>0</v>
      </c>
      <c r="L15" s="84">
        <v>0</v>
      </c>
      <c r="M15" s="74">
        <v>0</v>
      </c>
      <c r="O15" s="14"/>
    </row>
    <row r="16" spans="1:15" s="35" customFormat="1" ht="14.25" hidden="1" x14ac:dyDescent="0.25">
      <c r="A16" s="126"/>
      <c r="B16" s="30" t="s">
        <v>58</v>
      </c>
      <c r="C16" s="30"/>
      <c r="D16" s="31" t="s">
        <v>22</v>
      </c>
      <c r="E16" s="31">
        <v>2</v>
      </c>
      <c r="F16" s="32" t="s">
        <v>54</v>
      </c>
      <c r="G16" s="32" t="s">
        <v>55</v>
      </c>
      <c r="H16" s="70">
        <f>I16/0.85</f>
        <v>0</v>
      </c>
      <c r="I16" s="70">
        <v>0</v>
      </c>
      <c r="J16" s="71">
        <v>0</v>
      </c>
      <c r="K16" s="71">
        <v>0</v>
      </c>
      <c r="L16" s="71">
        <f>H16*0.15</f>
        <v>0</v>
      </c>
      <c r="M16" s="70">
        <v>0</v>
      </c>
      <c r="O16" s="36"/>
    </row>
    <row r="17" spans="1:15" x14ac:dyDescent="0.25">
      <c r="A17" s="37" t="s">
        <v>27</v>
      </c>
      <c r="B17" s="38" t="s">
        <v>28</v>
      </c>
      <c r="C17" s="12"/>
      <c r="D17" s="10" t="s">
        <v>59</v>
      </c>
      <c r="E17" s="10">
        <v>4</v>
      </c>
      <c r="F17" s="10"/>
      <c r="G17" s="11" t="s">
        <v>60</v>
      </c>
      <c r="H17" s="66">
        <f>762.35*1000</f>
        <v>762350</v>
      </c>
      <c r="I17" s="66">
        <f>648*1000</f>
        <v>648000</v>
      </c>
      <c r="J17" s="75">
        <v>0</v>
      </c>
      <c r="K17" s="75">
        <f>114.35*1000</f>
        <v>114350</v>
      </c>
      <c r="L17" s="75">
        <v>0</v>
      </c>
      <c r="M17" s="66">
        <v>0</v>
      </c>
      <c r="O17" s="14"/>
    </row>
    <row r="18" spans="1:15" ht="14.25" customHeight="1" x14ac:dyDescent="0.25">
      <c r="A18" s="120" t="s">
        <v>15</v>
      </c>
      <c r="B18" s="120"/>
      <c r="C18" s="120"/>
      <c r="D18" s="120"/>
      <c r="E18" s="120"/>
      <c r="F18" s="3"/>
      <c r="G18" s="4"/>
      <c r="H18" s="4"/>
      <c r="I18" s="4"/>
      <c r="J18" s="4"/>
      <c r="K18" s="4"/>
      <c r="L18" s="4"/>
      <c r="M18" s="4"/>
      <c r="O18" s="14"/>
    </row>
    <row r="20" spans="1:15" x14ac:dyDescent="0.25">
      <c r="A20" s="127" t="s">
        <v>103</v>
      </c>
      <c r="B20" s="127"/>
      <c r="C20" s="127"/>
      <c r="D20" s="127"/>
      <c r="E20" s="127"/>
    </row>
    <row r="21" spans="1:15" ht="42.75" x14ac:dyDescent="0.25">
      <c r="A21" s="7" t="s">
        <v>29</v>
      </c>
      <c r="B21" s="7" t="s">
        <v>4</v>
      </c>
      <c r="C21" s="2" t="s">
        <v>94</v>
      </c>
      <c r="D21" s="2" t="s">
        <v>93</v>
      </c>
      <c r="E21" s="2" t="s">
        <v>92</v>
      </c>
    </row>
    <row r="22" spans="1:15" ht="14.25" customHeight="1" x14ac:dyDescent="0.25">
      <c r="A22" s="112" t="s">
        <v>30</v>
      </c>
      <c r="B22" s="9" t="s">
        <v>11</v>
      </c>
      <c r="C22" s="74">
        <f>SUM(I6,I7,I8,I14)</f>
        <v>0</v>
      </c>
      <c r="D22" s="74">
        <f>SUM(J6,J7,J8,J14,K6,K7,K8,K14,L6,L7,L8,L14)</f>
        <v>0</v>
      </c>
      <c r="E22" s="74">
        <f>SUM(H6,H7,H8,H14)</f>
        <v>0</v>
      </c>
    </row>
    <row r="23" spans="1:15" x14ac:dyDescent="0.25">
      <c r="A23" s="112"/>
      <c r="B23" s="9" t="s">
        <v>14</v>
      </c>
      <c r="C23" s="74">
        <f>SUM((I17))</f>
        <v>648000</v>
      </c>
      <c r="D23" s="74">
        <v>114.35</v>
      </c>
      <c r="E23" s="74">
        <f>SUM(H17)</f>
        <v>762350</v>
      </c>
    </row>
    <row r="24" spans="1:15" x14ac:dyDescent="0.25">
      <c r="A24" s="112"/>
      <c r="B24" s="4" t="s">
        <v>31</v>
      </c>
      <c r="C24" s="43">
        <f>SUM(C22:C23)</f>
        <v>648000</v>
      </c>
      <c r="D24" s="43">
        <f>SUM(D22:D23)</f>
        <v>114.35</v>
      </c>
      <c r="E24" s="43">
        <f>SUM(E22,E23)</f>
        <v>762350</v>
      </c>
    </row>
    <row r="25" spans="1:15" ht="14.25" customHeight="1" x14ac:dyDescent="0.25">
      <c r="A25" s="112" t="s">
        <v>32</v>
      </c>
      <c r="B25" s="9" t="s">
        <v>12</v>
      </c>
      <c r="C25" s="39">
        <f>SUM(I13,I15,I16)</f>
        <v>0</v>
      </c>
      <c r="D25" s="39">
        <f>SUM(J13,J15,J16,K13,K15,K16,L13,L15,L16)</f>
        <v>0</v>
      </c>
      <c r="E25" s="39">
        <f>SUM(H13,H15,H16)</f>
        <v>0</v>
      </c>
    </row>
    <row r="26" spans="1:15" x14ac:dyDescent="0.25">
      <c r="A26" s="112"/>
      <c r="B26" s="4" t="s">
        <v>33</v>
      </c>
      <c r="C26" s="43">
        <f>SUM(C25)</f>
        <v>0</v>
      </c>
      <c r="D26" s="43">
        <f>SUM(D25)</f>
        <v>0</v>
      </c>
      <c r="E26" s="43">
        <f>SUM(E25)</f>
        <v>0</v>
      </c>
    </row>
    <row r="27" spans="1:15" ht="14.25" customHeight="1" x14ac:dyDescent="0.25">
      <c r="A27" s="112" t="s">
        <v>34</v>
      </c>
      <c r="B27" s="13" t="s">
        <v>13</v>
      </c>
      <c r="C27" s="58">
        <f>SUM(I9,I10,I11,I12)</f>
        <v>0</v>
      </c>
      <c r="D27" s="39">
        <f>SUM(J9,J10,J11,J12,K9,K10,K11,K12,L9,L10,L11,L12)</f>
        <v>0</v>
      </c>
      <c r="E27" s="39">
        <f>SUM(H9,H10,H11,H12)</f>
        <v>0</v>
      </c>
    </row>
    <row r="28" spans="1:15" x14ac:dyDescent="0.25">
      <c r="A28" s="112"/>
      <c r="B28" s="4" t="s">
        <v>35</v>
      </c>
      <c r="C28" s="43">
        <f>SUM(C27)</f>
        <v>0</v>
      </c>
      <c r="D28" s="43">
        <f>SUM(D27)</f>
        <v>0</v>
      </c>
      <c r="E28" s="43">
        <f>SUM(E27)</f>
        <v>0</v>
      </c>
    </row>
    <row r="29" spans="1:15" x14ac:dyDescent="0.25">
      <c r="A29" s="7" t="s">
        <v>36</v>
      </c>
      <c r="B29" s="4" t="s">
        <v>15</v>
      </c>
      <c r="C29" s="105">
        <f>C24+C26+C28</f>
        <v>648000</v>
      </c>
      <c r="D29" s="105">
        <f>D24+D26+D28</f>
        <v>114.35</v>
      </c>
      <c r="E29" s="105">
        <f>E24+E26+E28</f>
        <v>762350</v>
      </c>
    </row>
    <row r="31" spans="1:15" x14ac:dyDescent="0.25">
      <c r="A31" s="113" t="s">
        <v>85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5" ht="15" customHeight="1" x14ac:dyDescent="0.25">
      <c r="A32" s="114" t="s">
        <v>62</v>
      </c>
      <c r="B32" s="114" t="s">
        <v>86</v>
      </c>
      <c r="C32" s="114" t="s">
        <v>6</v>
      </c>
      <c r="D32" s="114" t="s">
        <v>64</v>
      </c>
      <c r="E32" s="115" t="s">
        <v>90</v>
      </c>
      <c r="F32" s="115"/>
      <c r="G32" s="115"/>
      <c r="H32" s="115"/>
      <c r="I32" s="115"/>
      <c r="J32" s="116" t="s">
        <v>88</v>
      </c>
    </row>
    <row r="33" spans="1:10" ht="14.25" customHeight="1" x14ac:dyDescent="0.25">
      <c r="A33" s="114"/>
      <c r="B33" s="114"/>
      <c r="C33" s="114"/>
      <c r="D33" s="114"/>
      <c r="E33" s="117" t="s">
        <v>8</v>
      </c>
      <c r="F33" s="118" t="s">
        <v>65</v>
      </c>
      <c r="G33" s="118"/>
      <c r="H33" s="118" t="s">
        <v>10</v>
      </c>
      <c r="I33" s="118"/>
      <c r="J33" s="116"/>
    </row>
    <row r="34" spans="1:10" ht="14.25" customHeight="1" x14ac:dyDescent="0.25">
      <c r="A34" s="114"/>
      <c r="B34" s="114"/>
      <c r="C34" s="114"/>
      <c r="D34" s="114"/>
      <c r="E34" s="117"/>
      <c r="F34" s="118"/>
      <c r="G34" s="118"/>
      <c r="H34" s="118"/>
      <c r="I34" s="118"/>
      <c r="J34" s="116"/>
    </row>
    <row r="35" spans="1:10" ht="63.75" x14ac:dyDescent="0.25">
      <c r="A35" s="114"/>
      <c r="B35" s="114"/>
      <c r="C35" s="114"/>
      <c r="D35" s="114"/>
      <c r="E35" s="117"/>
      <c r="F35" s="46" t="s">
        <v>66</v>
      </c>
      <c r="G35" s="47" t="s">
        <v>67</v>
      </c>
      <c r="H35" s="46" t="s">
        <v>68</v>
      </c>
      <c r="I35" s="46" t="s">
        <v>41</v>
      </c>
      <c r="J35" s="116"/>
    </row>
    <row r="36" spans="1:10" x14ac:dyDescent="0.25">
      <c r="A36" s="48" t="s">
        <v>12</v>
      </c>
      <c r="B36" s="49">
        <v>2</v>
      </c>
      <c r="C36" s="52" t="s">
        <v>54</v>
      </c>
      <c r="D36" s="50" t="s">
        <v>55</v>
      </c>
      <c r="E36" s="51">
        <f t="shared" ref="E36:J36" si="0">SUM(H13,H15,H16)</f>
        <v>0</v>
      </c>
      <c r="F36" s="51">
        <f t="shared" si="0"/>
        <v>0</v>
      </c>
      <c r="G36" s="51">
        <f t="shared" si="0"/>
        <v>0</v>
      </c>
      <c r="H36" s="51">
        <f t="shared" si="0"/>
        <v>0</v>
      </c>
      <c r="I36" s="51">
        <f t="shared" si="0"/>
        <v>0</v>
      </c>
      <c r="J36" s="51">
        <f t="shared" si="0"/>
        <v>0</v>
      </c>
    </row>
    <row r="37" spans="1:10" ht="14.25" customHeight="1" x14ac:dyDescent="0.25">
      <c r="A37" s="111" t="s">
        <v>13</v>
      </c>
      <c r="B37" s="52" t="s">
        <v>49</v>
      </c>
      <c r="C37" s="52" t="s">
        <v>50</v>
      </c>
      <c r="D37" s="52" t="s">
        <v>52</v>
      </c>
      <c r="E37" s="51">
        <f t="shared" ref="E37:J37" si="1">SUM(H10,H11,H12)</f>
        <v>0</v>
      </c>
      <c r="F37" s="51">
        <f t="shared" si="1"/>
        <v>0</v>
      </c>
      <c r="G37" s="51">
        <f t="shared" si="1"/>
        <v>0</v>
      </c>
      <c r="H37" s="51">
        <f t="shared" si="1"/>
        <v>0</v>
      </c>
      <c r="I37" s="51">
        <f t="shared" si="1"/>
        <v>0</v>
      </c>
      <c r="J37" s="51">
        <f t="shared" si="1"/>
        <v>0</v>
      </c>
    </row>
    <row r="38" spans="1:10" x14ac:dyDescent="0.25">
      <c r="A38" s="111"/>
      <c r="B38" s="52" t="s">
        <v>49</v>
      </c>
      <c r="C38" s="52" t="s">
        <v>50</v>
      </c>
      <c r="D38" s="52" t="s">
        <v>51</v>
      </c>
      <c r="E38" s="51">
        <f t="shared" ref="E38:J38" si="2">SUM(H9)</f>
        <v>0</v>
      </c>
      <c r="F38" s="51">
        <f t="shared" si="2"/>
        <v>0</v>
      </c>
      <c r="G38" s="51">
        <f t="shared" si="2"/>
        <v>0</v>
      </c>
      <c r="H38" s="51">
        <f t="shared" si="2"/>
        <v>0</v>
      </c>
      <c r="I38" s="51">
        <f t="shared" si="2"/>
        <v>0</v>
      </c>
      <c r="J38" s="51">
        <f t="shared" si="2"/>
        <v>0</v>
      </c>
    </row>
    <row r="39" spans="1:10" x14ac:dyDescent="0.25">
      <c r="A39" s="48" t="s">
        <v>11</v>
      </c>
      <c r="B39" s="53">
        <v>4</v>
      </c>
      <c r="C39" s="53" t="s">
        <v>43</v>
      </c>
      <c r="D39" s="54" t="s">
        <v>44</v>
      </c>
      <c r="E39" s="51">
        <f t="shared" ref="E39:J39" si="3">SUM(H6,H7,H8,H14)</f>
        <v>0</v>
      </c>
      <c r="F39" s="51">
        <f t="shared" si="3"/>
        <v>0</v>
      </c>
      <c r="G39" s="51">
        <f t="shared" si="3"/>
        <v>0</v>
      </c>
      <c r="H39" s="51">
        <f t="shared" si="3"/>
        <v>0</v>
      </c>
      <c r="I39" s="51">
        <f t="shared" si="3"/>
        <v>0</v>
      </c>
      <c r="J39" s="51">
        <f t="shared" si="3"/>
        <v>0</v>
      </c>
    </row>
    <row r="40" spans="1:10" x14ac:dyDescent="0.25">
      <c r="A40" s="55" t="s">
        <v>14</v>
      </c>
      <c r="B40" s="13">
        <v>4</v>
      </c>
      <c r="C40" s="13"/>
      <c r="D40" s="56" t="s">
        <v>60</v>
      </c>
      <c r="E40" s="51">
        <f t="shared" ref="E40:J40" si="4">SUM(H17)</f>
        <v>762350</v>
      </c>
      <c r="F40" s="51">
        <f t="shared" si="4"/>
        <v>648000</v>
      </c>
      <c r="G40" s="51">
        <f t="shared" si="4"/>
        <v>0</v>
      </c>
      <c r="H40" s="51">
        <f t="shared" si="4"/>
        <v>114350</v>
      </c>
      <c r="I40" s="51">
        <f t="shared" si="4"/>
        <v>0</v>
      </c>
      <c r="J40" s="51">
        <f t="shared" si="4"/>
        <v>0</v>
      </c>
    </row>
  </sheetData>
  <mergeCells count="32">
    <mergeCell ref="A1:M1"/>
    <mergeCell ref="A2:A5"/>
    <mergeCell ref="B2:B5"/>
    <mergeCell ref="C2:C5"/>
    <mergeCell ref="D2:G3"/>
    <mergeCell ref="H2:L3"/>
    <mergeCell ref="M2:M5"/>
    <mergeCell ref="D4:D5"/>
    <mergeCell ref="E4:E5"/>
    <mergeCell ref="F4:F5"/>
    <mergeCell ref="G4:G5"/>
    <mergeCell ref="H4:H5"/>
    <mergeCell ref="I4:J4"/>
    <mergeCell ref="K4:L4"/>
    <mergeCell ref="A10:A12"/>
    <mergeCell ref="A13:A16"/>
    <mergeCell ref="A18:E18"/>
    <mergeCell ref="A20:E20"/>
    <mergeCell ref="A22:A24"/>
    <mergeCell ref="A37:A38"/>
    <mergeCell ref="A25:A26"/>
    <mergeCell ref="A27:A28"/>
    <mergeCell ref="A31:J31"/>
    <mergeCell ref="A32:A35"/>
    <mergeCell ref="B32:B35"/>
    <mergeCell ref="C32:C35"/>
    <mergeCell ref="D32:D35"/>
    <mergeCell ref="E32:I32"/>
    <mergeCell ref="J32:J35"/>
    <mergeCell ref="E33:E35"/>
    <mergeCell ref="F33:G34"/>
    <mergeCell ref="H33:I34"/>
  </mergeCells>
  <pageMargins left="0.7" right="0.7" top="0.78749999999999998" bottom="0.78749999999999998" header="0.51180555555555496" footer="0.51180555555555496"/>
  <pageSetup paperSize="9" firstPageNumber="0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 Celkový finanční plán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lenovo</cp:lastModifiedBy>
  <cp:revision>3</cp:revision>
  <dcterms:created xsi:type="dcterms:W3CDTF">2006-10-17T13:37:20Z</dcterms:created>
  <dcterms:modified xsi:type="dcterms:W3CDTF">2019-10-07T12:15:39Z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